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sthwaidc-my.sharepoint.com/personal/katherine_meerman_swdc_govt_nz/Documents/LWDW/WSDP/"/>
    </mc:Choice>
  </mc:AlternateContent>
  <xr:revisionPtr revIDLastSave="65" documentId="8_{51F71AFE-08BD-44F0-AA3A-D2DDFB3AED9B}" xr6:coauthVersionLast="47" xr6:coauthVersionMax="47" xr10:uidLastSave="{F82BF798-73E3-42FA-BB21-F3FBB8781C79}"/>
  <bookViews>
    <workbookView xWindow="-110" yWindow="-110" windowWidth="19420" windowHeight="11500" firstSheet="2" activeTab="3" xr2:uid="{0DA97610-3DC5-407E-893B-FB0A5BC46554}"/>
  </bookViews>
  <sheets>
    <sheet name="Input" sheetId="1" r:id="rId1"/>
    <sheet name="0. Overview" sheetId="2" r:id="rId2"/>
    <sheet name="1. Charts" sheetId="3" r:id="rId3"/>
    <sheet name="2. Measures" sheetId="4" r:id="rId4"/>
    <sheet name="3. Investment" sheetId="5" r:id="rId5"/>
    <sheet name="4. Financials - water services" sheetId="6" r:id="rId6"/>
    <sheet name="5. Financials - drinking water" sheetId="7" r:id="rId7"/>
    <sheet name="6. Financials - wastewater" sheetId="8" r:id="rId8"/>
    <sheet name="7. Financials - stormwater" sheetId="9" r:id="rId9"/>
  </sheets>
  <definedNames>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8</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001" hidden="1">"w/ RR"</definedName>
    <definedName name="_AtRisk_SimSetting_SimName002" hidden="1">"w/o RR"</definedName>
    <definedName name="_AtRisk_SimSetting_SimNameCount" hidden="1">2</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Order1" hidden="1">255</definedName>
    <definedName name="_Order2" hidden="1">0</definedName>
    <definedName name="Allocation_activity">#REF!</definedName>
    <definedName name="Allocation_method">#REF!</definedName>
    <definedName name="ATAPCapexOpex" hidden="1">#REF!</definedName>
    <definedName name="ATAPcapexopex2" hidden="1">#REF!</definedName>
    <definedName name="BEx3C7U5X9PCZMFNJM2JSKB9WDC7" hidden="1">#REF!</definedName>
    <definedName name="BEx5ACW0C7GHN0W44M0V4M2N9NWX" hidden="1">#REF!</definedName>
    <definedName name="BEx5FCUYVCUTGP1DC9R2HMJUSKG7" hidden="1">#REF!</definedName>
    <definedName name="BEx787B3P3B4TRLFQH4FKDM9IVFG" hidden="1">#REF!</definedName>
    <definedName name="BEx9EYJR8RIJJYIC2A87I2KSW8VH" hidden="1">#REF!</definedName>
    <definedName name="BExCY5OFHG90Y9L640YYX6E4JIHA" hidden="1">#REF!</definedName>
    <definedName name="BExEO7F973V6G4LOTL4G4P982B15" hidden="1">#REF!</definedName>
    <definedName name="BExQ5813K86IYCMNBRXPB9X0YHE2" hidden="1">#REF!</definedName>
    <definedName name="BExS748XJ69KL1ZMS091A8XEL5H8" hidden="1">#REF!</definedName>
    <definedName name="BExTYYVS8XNTRGK2F7W4ER905OSW" hidden="1">#REF!</definedName>
    <definedName name="BExY13TSMHDZBN633U4NULAC5YAM" hidden="1">#REF!</definedName>
    <definedName name="Blank2_On">#REF!</definedName>
    <definedName name="Blank2DC_On">#REF!</definedName>
    <definedName name="CartertonDC_On">#REF!</definedName>
    <definedName name="Check_log">#REF!</definedName>
    <definedName name="Check_model">#REF!</definedName>
    <definedName name="Check_solve">#REF!</definedName>
    <definedName name="CIQWBGuid" hidden="1">"2e01d50b-fca5-4167-af39-6d15e401e13d"</definedName>
    <definedName name="Composition" hidden="1">#REF!</definedName>
    <definedName name="DCInclusion">#REF!</definedName>
    <definedName name="EPMWorkbookOptions_2" hidden="1">"gGGWdGa6m4ihZStvN9EEFsOuhmQwiaYUJ2Pex0B7FIbA83lQ4tMQGv27Xrf/taebj7LUf1oGxSgazCIPyyU09Z4DRHxGEYmjkLLSKHxhJfJzrhEHkSf+6D/1Opppts1vTsvodPjfmtvX9f7jV4d/HqIghtVvVZyXuC5Yi6IAe2jD3IMLT3Nks2w0L/1orKrZGnzh5NrcgvhuVwv7PpAmngCJk1Lfl67LjDMarnLG4WyVQw+DkDYYnYIq5nTs"</definedName>
    <definedName name="EPMWorkbookOptions_3" hidden="1">"C01mkRO5M7tlIKeFwSu7Qy8hxYzXlazFIninbyu+hUfjgP8wBwJOHPgtDBRRb4zXefZqDqjnDtOYbUwov38r0WrW7xt+qGpTd0/w31NInNQ11/hm2d9VMa93X5LFEvJNpCLJ5bq8kSBvcZNYi/pAG5IqLj7kZo+jAL31aBgBZW8NuVKtDGEwLFaqvlJUrobXxXoFoCghuFL8QU2pDcrzkbNROYk7KF6tXBcmA74t5siylOcKuGQRv2HTU+ri"</definedName>
    <definedName name="EPMWorkbookOptions_4" hidden="1">"j9JTT7MN023J/OODYTtty+T7wU7EO5lTpt7W0gLfWm8IDm6FOTvC1kO5f3UPi1XF/XNWxUPM21j/Pwer5bhGp+ueDqskKXVJOpxV+QxZXZqYZZX/p5Zcy9U6F1pzyzyR1r7u2ifTWi5XKoqiHE7r1XnSOjcxSys/6syB1VzHbV6AzS3zBGCblt53v/eMk4Gt1mSpXq8dDmz5/IBNTcwCa1pN9wJqbpkngNqzrbv2x/ZWfhKoVsvlI44Cyvmx"</definedName>
    <definedName name="EPMWorkbookOptions_5" hidden="1">"uvYxSyt/UbZM48Jrbpkn8Grz9/L+xw6uR79lVc4P15WNu0fXszgJ/GZfjJok8Zed62sp+fq/u/PfeZzddvf0M9LxT3L1/J7kuYM7D3G1dHkB/a2cPmide+NDB/rjYa2dH6wrGzmm/FuSL1tpfpknINo1NOfeNpx/kdD6+RGaurgAtGfYbavZ1i+UHiPKVJMvUsW8O7hMayrn2XZvLzcbd288VRuGFOKxRawISHrtlG1MdHoAiM6TWsRBL5Aq"</definedName>
    <definedName name="EPMWorkbookOptions_6" hidden="1">"t5sTbXq1y9lkiY2percj0bfjB0QxGgTQBTpay3faP39a51jeGzf+AQtEER9yHgAA"</definedName>
    <definedName name="Error_limit">#REF!</definedName>
    <definedName name="fujdr" hidden="1">#REF!</definedName>
    <definedName name="GST">#REF!</definedName>
    <definedName name="GWRC_On">#REF!</definedName>
    <definedName name="Header1" hidden="1">IF(COUNTA(#REF!)=0,0,INDEX(#REF!,MATCH(ROW(#REF!),#REF!,TRUE)))+1</definedName>
    <definedName name="Header1a" hidden="1">IF(COUNTA(#REF!)=0,0,INDEX(#REF!,MATCH(ROW(#REF!),#REF!,TRUE)))+1</definedName>
    <definedName name="Header2" hidden="1">[0]!Header1-1 &amp; "." &amp; MAX(1,COUNTA(INDEX(#REF!,MATCH([0]!Header1-1,#REF!,FALSE)):#REF!))</definedName>
    <definedName name="List_connections">#REF!</definedName>
    <definedName name="List_councils">#REF!</definedName>
    <definedName name="List_units">#REF!</definedName>
    <definedName name="List_yes_no">#REF!</definedName>
    <definedName name="Log_current_entries">#REF!</definedName>
    <definedName name="new" hidden="1">#REF!</definedName>
    <definedName name="None" hidden="1">#REF!</definedName>
    <definedName name="Notes" hidden="1">#REF!</definedName>
    <definedName name="On_Off">#REF!</definedName>
    <definedName name="Pal_Workbook_GUID" hidden="1">"CZ72BL2B7TGECH77C7SIAT28"</definedName>
    <definedName name="q"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definedName>
    <definedName name="SAPBEXsysID" hidden="1">"PBW"</definedName>
    <definedName name="SAPBEXwbID" hidden="1">"54QB92NN890G0XIM9CTQ7UFMA"</definedName>
    <definedName name="SAPBEXwbID2" hidden="1">"6J5BT80W4VZS0T71W225L5TOU"</definedName>
    <definedName name="Scenario_live">#REF!</definedName>
    <definedName name="Scenarios">#REF!</definedName>
    <definedName name="selection1or2">#REF!</definedName>
    <definedName name="selection1to3">#REF!</definedName>
    <definedName name="Solver">#REF!</definedName>
    <definedName name="SouthWaiDC_On">#REF!</definedName>
    <definedName name="SW_On">#REF!</definedName>
    <definedName name="TararuaDC_On">#REF!</definedName>
    <definedName name="Th">#REF!</definedName>
    <definedName name="WS_On">#REF!</definedName>
    <definedName name="WW_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6" i="9" l="1"/>
  <c r="N65" i="9"/>
  <c r="M65" i="9"/>
  <c r="L65" i="9"/>
  <c r="K65" i="9"/>
  <c r="M64" i="9"/>
  <c r="M66" i="9" s="1"/>
  <c r="L64" i="9"/>
  <c r="L66" i="9" s="1"/>
  <c r="K64" i="9"/>
  <c r="K66" i="9" s="1"/>
  <c r="N46" i="9"/>
  <c r="M46" i="9"/>
  <c r="L46" i="9"/>
  <c r="K46" i="9"/>
  <c r="I46" i="9"/>
  <c r="H46" i="9"/>
  <c r="K41" i="9"/>
  <c r="G33" i="9"/>
  <c r="N64" i="9"/>
  <c r="J64" i="9"/>
  <c r="I64" i="9"/>
  <c r="H64" i="9"/>
  <c r="G64" i="9"/>
  <c r="F64" i="9"/>
  <c r="E64" i="9"/>
  <c r="E83" i="9" s="1"/>
  <c r="N33" i="9"/>
  <c r="M33" i="9"/>
  <c r="L33" i="9"/>
  <c r="K33" i="9"/>
  <c r="I65" i="9"/>
  <c r="H65" i="9"/>
  <c r="F65" i="9"/>
  <c r="E65" i="9"/>
  <c r="C65" i="9"/>
  <c r="C66" i="9" s="1"/>
  <c r="P24" i="9"/>
  <c r="P23" i="9"/>
  <c r="P21" i="9"/>
  <c r="J41" i="9"/>
  <c r="I41" i="9"/>
  <c r="H41" i="9"/>
  <c r="G41" i="9"/>
  <c r="F41" i="9"/>
  <c r="E41" i="9"/>
  <c r="C41" i="9"/>
  <c r="P14" i="9"/>
  <c r="P13" i="9"/>
  <c r="J46" i="9"/>
  <c r="G46" i="9"/>
  <c r="F46" i="9"/>
  <c r="E46" i="9"/>
  <c r="C46" i="9"/>
  <c r="P7" i="9"/>
  <c r="P6" i="9"/>
  <c r="P5" i="9"/>
  <c r="P4" i="9"/>
  <c r="J8" i="9"/>
  <c r="J40" i="9" s="1"/>
  <c r="I8" i="9"/>
  <c r="H8" i="9"/>
  <c r="G8" i="9"/>
  <c r="C8" i="9"/>
  <c r="C96" i="8"/>
  <c r="E83" i="8"/>
  <c r="F83" i="8" s="1"/>
  <c r="G83" i="8" s="1"/>
  <c r="I65" i="8"/>
  <c r="I66" i="8" s="1"/>
  <c r="F65" i="8"/>
  <c r="F66" i="8" s="1"/>
  <c r="I46" i="8"/>
  <c r="H64" i="8"/>
  <c r="P31" i="8"/>
  <c r="M33" i="8"/>
  <c r="J33" i="8"/>
  <c r="I33" i="8"/>
  <c r="H33" i="8"/>
  <c r="G33" i="8"/>
  <c r="E65" i="8"/>
  <c r="E66" i="8" s="1"/>
  <c r="P24" i="8"/>
  <c r="P23" i="8"/>
  <c r="N41" i="8"/>
  <c r="H21" i="6"/>
  <c r="N46" i="8"/>
  <c r="M46" i="8"/>
  <c r="L46" i="8"/>
  <c r="K46" i="8"/>
  <c r="J46" i="8"/>
  <c r="H46" i="8"/>
  <c r="G46" i="8"/>
  <c r="F46" i="8"/>
  <c r="C46" i="8"/>
  <c r="E8" i="8"/>
  <c r="N8" i="8"/>
  <c r="P4" i="8"/>
  <c r="C96" i="7"/>
  <c r="G83" i="7"/>
  <c r="E83" i="7"/>
  <c r="F83" i="7" s="1"/>
  <c r="J65" i="7"/>
  <c r="J66" i="7" s="1"/>
  <c r="H65" i="7"/>
  <c r="E65" i="7"/>
  <c r="E66" i="7" s="1"/>
  <c r="N46" i="7"/>
  <c r="M46" i="7"/>
  <c r="L46" i="7"/>
  <c r="K46" i="7"/>
  <c r="I46" i="7"/>
  <c r="J41" i="7"/>
  <c r="H41" i="7"/>
  <c r="E41" i="7"/>
  <c r="H33" i="7"/>
  <c r="C33" i="7"/>
  <c r="H64" i="7"/>
  <c r="P31" i="7"/>
  <c r="P29" i="7"/>
  <c r="N33" i="7"/>
  <c r="F4" i="5"/>
  <c r="F7" i="5" s="1"/>
  <c r="G65" i="7"/>
  <c r="G66" i="7" s="1"/>
  <c r="P23" i="7"/>
  <c r="G41" i="7"/>
  <c r="I41" i="7"/>
  <c r="P14" i="7"/>
  <c r="J46" i="7"/>
  <c r="H46" i="7"/>
  <c r="G46" i="7"/>
  <c r="F46" i="7"/>
  <c r="P13" i="7"/>
  <c r="C46" i="7"/>
  <c r="F8" i="7"/>
  <c r="I4" i="6"/>
  <c r="N8" i="7"/>
  <c r="M8" i="7"/>
  <c r="G8" i="7"/>
  <c r="N90" i="6"/>
  <c r="M90" i="6"/>
  <c r="L90" i="6"/>
  <c r="K90" i="6"/>
  <c r="J90" i="6"/>
  <c r="I90" i="6"/>
  <c r="H90" i="6"/>
  <c r="G90" i="6"/>
  <c r="F90" i="6"/>
  <c r="E90" i="6"/>
  <c r="C90" i="6"/>
  <c r="N88" i="6"/>
  <c r="M88" i="6"/>
  <c r="L88" i="6"/>
  <c r="K88" i="6"/>
  <c r="J88" i="6"/>
  <c r="I88" i="6"/>
  <c r="H88" i="6"/>
  <c r="G88" i="6"/>
  <c r="F88" i="6"/>
  <c r="E88" i="6"/>
  <c r="C88" i="6"/>
  <c r="N87" i="6"/>
  <c r="M87" i="6"/>
  <c r="L87" i="6"/>
  <c r="K87" i="6"/>
  <c r="J87" i="6"/>
  <c r="I87" i="6"/>
  <c r="H87" i="6"/>
  <c r="G87" i="6"/>
  <c r="F87" i="6"/>
  <c r="E87" i="6"/>
  <c r="C87" i="6"/>
  <c r="E83" i="6"/>
  <c r="C83" i="6"/>
  <c r="N81" i="6"/>
  <c r="M81" i="6"/>
  <c r="L81" i="6"/>
  <c r="K81" i="6"/>
  <c r="J81" i="6"/>
  <c r="I81" i="6"/>
  <c r="H81" i="6"/>
  <c r="G81" i="6"/>
  <c r="F81" i="6"/>
  <c r="E81" i="6"/>
  <c r="C81" i="6"/>
  <c r="N32" i="6"/>
  <c r="N64" i="6" s="1"/>
  <c r="M32" i="6"/>
  <c r="M64" i="6" s="1"/>
  <c r="L32" i="6"/>
  <c r="L64" i="6" s="1"/>
  <c r="K32" i="6"/>
  <c r="K64" i="6" s="1"/>
  <c r="J32" i="6"/>
  <c r="J64" i="6" s="1"/>
  <c r="I32" i="6"/>
  <c r="I64" i="6" s="1"/>
  <c r="H32" i="6"/>
  <c r="H64" i="6" s="1"/>
  <c r="G32" i="6"/>
  <c r="G64" i="6" s="1"/>
  <c r="F32" i="6"/>
  <c r="F64" i="6" s="1"/>
  <c r="E32" i="6"/>
  <c r="C32" i="6"/>
  <c r="C64" i="6" s="1"/>
  <c r="N31" i="6"/>
  <c r="M31" i="6"/>
  <c r="L31" i="6"/>
  <c r="K31" i="6"/>
  <c r="J31" i="6"/>
  <c r="I31" i="6"/>
  <c r="H31" i="6"/>
  <c r="G31" i="6"/>
  <c r="F31" i="6"/>
  <c r="E31" i="6"/>
  <c r="C31" i="6"/>
  <c r="N30" i="6"/>
  <c r="K19" i="3" s="1"/>
  <c r="M30" i="6"/>
  <c r="M33" i="4" s="1"/>
  <c r="L30" i="6"/>
  <c r="K30" i="6"/>
  <c r="J30" i="6"/>
  <c r="J33" i="4" s="1"/>
  <c r="I30" i="6"/>
  <c r="F19" i="3" s="1"/>
  <c r="H30" i="6"/>
  <c r="G30" i="6"/>
  <c r="G33" i="4" s="1"/>
  <c r="F30" i="6"/>
  <c r="C19" i="3" s="1"/>
  <c r="E30" i="6"/>
  <c r="C30" i="6"/>
  <c r="C33" i="4" s="1"/>
  <c r="N29" i="6"/>
  <c r="K20" i="3" s="1"/>
  <c r="M29" i="6"/>
  <c r="L29" i="6"/>
  <c r="K29" i="6"/>
  <c r="J29" i="6"/>
  <c r="I29" i="6"/>
  <c r="H29" i="6"/>
  <c r="G29" i="6"/>
  <c r="F29" i="6"/>
  <c r="C20" i="3" s="1"/>
  <c r="E29" i="6"/>
  <c r="B20" i="3" s="1"/>
  <c r="C29" i="6"/>
  <c r="N28" i="6"/>
  <c r="K21" i="3" s="1"/>
  <c r="M28" i="6"/>
  <c r="J21" i="3" s="1"/>
  <c r="L28" i="6"/>
  <c r="K28" i="6"/>
  <c r="J28" i="6"/>
  <c r="I28" i="6"/>
  <c r="F21" i="3" s="1"/>
  <c r="H28" i="6"/>
  <c r="G28" i="6"/>
  <c r="F28" i="6"/>
  <c r="C21" i="3" s="1"/>
  <c r="E28" i="6"/>
  <c r="B21" i="3" s="1"/>
  <c r="C28" i="6"/>
  <c r="N24" i="6"/>
  <c r="M24" i="6"/>
  <c r="L24" i="6"/>
  <c r="K24" i="6"/>
  <c r="J24" i="6"/>
  <c r="I24" i="6"/>
  <c r="H24" i="6"/>
  <c r="G24" i="6"/>
  <c r="F24" i="6"/>
  <c r="E24" i="6"/>
  <c r="C24" i="6"/>
  <c r="N23" i="6"/>
  <c r="M23" i="6"/>
  <c r="L23" i="6"/>
  <c r="K23" i="6"/>
  <c r="J23" i="6"/>
  <c r="I23" i="6"/>
  <c r="H23" i="6"/>
  <c r="G23" i="6"/>
  <c r="F23" i="6"/>
  <c r="E23" i="6"/>
  <c r="C23" i="6"/>
  <c r="N21" i="6"/>
  <c r="M21" i="6"/>
  <c r="L21" i="6"/>
  <c r="K21" i="6"/>
  <c r="J21" i="6"/>
  <c r="I21" i="6"/>
  <c r="G21" i="6"/>
  <c r="F21" i="6"/>
  <c r="E21" i="6"/>
  <c r="C21" i="6"/>
  <c r="N20" i="6"/>
  <c r="M20" i="6"/>
  <c r="L20" i="6"/>
  <c r="K20" i="6"/>
  <c r="J20" i="6"/>
  <c r="I20" i="6"/>
  <c r="H20" i="6"/>
  <c r="G20" i="6"/>
  <c r="F20" i="6"/>
  <c r="E20" i="6"/>
  <c r="C20" i="6"/>
  <c r="N14" i="6"/>
  <c r="M14" i="6"/>
  <c r="L14" i="6"/>
  <c r="K14" i="6"/>
  <c r="J14" i="6"/>
  <c r="I14" i="6"/>
  <c r="H14" i="6"/>
  <c r="G14" i="6"/>
  <c r="F14" i="6"/>
  <c r="E14" i="6"/>
  <c r="C14" i="6"/>
  <c r="N13" i="6"/>
  <c r="N46" i="6" s="1"/>
  <c r="M13" i="6"/>
  <c r="M46" i="6" s="1"/>
  <c r="L13" i="6"/>
  <c r="L46" i="6" s="1"/>
  <c r="K13" i="6"/>
  <c r="K46" i="6" s="1"/>
  <c r="J13" i="6"/>
  <c r="J46" i="6" s="1"/>
  <c r="I13" i="6"/>
  <c r="H13" i="6"/>
  <c r="H46" i="6" s="1"/>
  <c r="G13" i="6"/>
  <c r="G46" i="6" s="1"/>
  <c r="F13" i="6"/>
  <c r="F46" i="6" s="1"/>
  <c r="E13" i="6"/>
  <c r="E46" i="6" s="1"/>
  <c r="C13" i="6"/>
  <c r="C46" i="6" s="1"/>
  <c r="N7" i="6"/>
  <c r="M7" i="6"/>
  <c r="L7" i="6"/>
  <c r="K7" i="6"/>
  <c r="J7" i="6"/>
  <c r="I7" i="6"/>
  <c r="H7" i="6"/>
  <c r="G7" i="6"/>
  <c r="F7" i="6"/>
  <c r="E7" i="6"/>
  <c r="C7" i="6"/>
  <c r="N6" i="6"/>
  <c r="M6" i="6"/>
  <c r="L6" i="6"/>
  <c r="K6" i="6"/>
  <c r="J6" i="6"/>
  <c r="I6" i="6"/>
  <c r="H6" i="6"/>
  <c r="G6" i="6"/>
  <c r="F6" i="6"/>
  <c r="E6" i="6"/>
  <c r="C6" i="6"/>
  <c r="N5" i="6"/>
  <c r="M5" i="6"/>
  <c r="L5" i="6"/>
  <c r="K5" i="6"/>
  <c r="J5" i="6"/>
  <c r="I5" i="6"/>
  <c r="H5" i="6"/>
  <c r="G5" i="6"/>
  <c r="F5" i="6"/>
  <c r="E5" i="6"/>
  <c r="C5" i="6"/>
  <c r="N4" i="6"/>
  <c r="M4" i="6"/>
  <c r="L4" i="6"/>
  <c r="K4" i="6"/>
  <c r="K16" i="4" s="1"/>
  <c r="J4" i="6"/>
  <c r="J16" i="4" s="1"/>
  <c r="H4" i="6"/>
  <c r="G4" i="6"/>
  <c r="F4" i="6"/>
  <c r="E4" i="6"/>
  <c r="E16" i="4" s="1"/>
  <c r="C4" i="6"/>
  <c r="N3" i="6"/>
  <c r="M3" i="6"/>
  <c r="L3" i="6"/>
  <c r="K3" i="6"/>
  <c r="J3" i="6"/>
  <c r="I3" i="6"/>
  <c r="G3" i="6"/>
  <c r="F3" i="6"/>
  <c r="E3" i="6"/>
  <c r="C3" i="6"/>
  <c r="K94" i="5"/>
  <c r="J94" i="5"/>
  <c r="I94" i="5"/>
  <c r="K92" i="5"/>
  <c r="J92" i="5"/>
  <c r="I92" i="5"/>
  <c r="H92" i="5"/>
  <c r="G92" i="5"/>
  <c r="F92" i="5"/>
  <c r="E92" i="5"/>
  <c r="D92" i="5"/>
  <c r="C92" i="5"/>
  <c r="B92" i="5"/>
  <c r="K86" i="5"/>
  <c r="J86" i="5"/>
  <c r="I86" i="5"/>
  <c r="H86" i="5"/>
  <c r="G86" i="5"/>
  <c r="F86" i="5"/>
  <c r="E86" i="5"/>
  <c r="D86" i="5"/>
  <c r="C86" i="5"/>
  <c r="B86" i="5"/>
  <c r="K80" i="5"/>
  <c r="J80" i="5"/>
  <c r="I80" i="5"/>
  <c r="H80" i="5"/>
  <c r="G80" i="5"/>
  <c r="F80" i="5"/>
  <c r="E80" i="5"/>
  <c r="D80" i="5"/>
  <c r="D94" i="5" s="1"/>
  <c r="C80" i="5"/>
  <c r="C94" i="5" s="1"/>
  <c r="B80" i="5"/>
  <c r="B94" i="5" s="1"/>
  <c r="E72" i="5"/>
  <c r="D72" i="5"/>
  <c r="K70" i="5"/>
  <c r="J70" i="5"/>
  <c r="I70" i="5"/>
  <c r="H70" i="5"/>
  <c r="G70" i="5"/>
  <c r="F70" i="5"/>
  <c r="E70" i="5"/>
  <c r="D70" i="5"/>
  <c r="C70" i="5"/>
  <c r="B70" i="5"/>
  <c r="B72" i="5" s="1"/>
  <c r="K64" i="5"/>
  <c r="J64" i="5"/>
  <c r="I64" i="5"/>
  <c r="I72" i="5" s="1"/>
  <c r="H64" i="5"/>
  <c r="G64" i="5"/>
  <c r="F64" i="5"/>
  <c r="E64" i="5"/>
  <c r="D64" i="5"/>
  <c r="C64" i="5"/>
  <c r="B64" i="5"/>
  <c r="K58" i="5"/>
  <c r="J58" i="5"/>
  <c r="I58" i="5"/>
  <c r="H58" i="5"/>
  <c r="H72" i="5" s="1"/>
  <c r="G58" i="5"/>
  <c r="G72" i="5" s="1"/>
  <c r="F58" i="5"/>
  <c r="F72" i="5" s="1"/>
  <c r="E58" i="5"/>
  <c r="D58" i="5"/>
  <c r="C58" i="5"/>
  <c r="B58" i="5"/>
  <c r="K48" i="5"/>
  <c r="J48" i="5"/>
  <c r="I48" i="5"/>
  <c r="I50" i="5" s="1"/>
  <c r="H48" i="5"/>
  <c r="H50" i="5" s="1"/>
  <c r="G48" i="5"/>
  <c r="F48" i="5"/>
  <c r="E48" i="5"/>
  <c r="D48" i="5"/>
  <c r="D50" i="5" s="1"/>
  <c r="C48" i="5"/>
  <c r="B48" i="5"/>
  <c r="K42" i="5"/>
  <c r="J42" i="5"/>
  <c r="I42" i="5"/>
  <c r="H42" i="5"/>
  <c r="G42" i="5"/>
  <c r="F42" i="5"/>
  <c r="E42" i="5"/>
  <c r="D42" i="5"/>
  <c r="C42" i="5"/>
  <c r="B42" i="5"/>
  <c r="K36" i="5"/>
  <c r="K50" i="5" s="1"/>
  <c r="J36" i="5"/>
  <c r="J50" i="5" s="1"/>
  <c r="I36" i="5"/>
  <c r="H36" i="5"/>
  <c r="G36" i="5"/>
  <c r="F36" i="5"/>
  <c r="E36" i="5"/>
  <c r="D36" i="5"/>
  <c r="C36" i="5"/>
  <c r="B36" i="5"/>
  <c r="H28" i="5"/>
  <c r="C28" i="5"/>
  <c r="B28" i="5"/>
  <c r="E26" i="5"/>
  <c r="K18" i="5"/>
  <c r="J18" i="5"/>
  <c r="I18" i="5"/>
  <c r="H18" i="5"/>
  <c r="G18" i="5"/>
  <c r="F18" i="5"/>
  <c r="E18" i="5"/>
  <c r="D18" i="5"/>
  <c r="C18" i="5"/>
  <c r="B18" i="5"/>
  <c r="K17" i="5"/>
  <c r="J17" i="5"/>
  <c r="I17" i="5"/>
  <c r="H17" i="5"/>
  <c r="G17" i="5"/>
  <c r="F17" i="5"/>
  <c r="E17" i="5"/>
  <c r="D17" i="5"/>
  <c r="C17" i="5"/>
  <c r="B17" i="5"/>
  <c r="K16" i="5"/>
  <c r="J16" i="5"/>
  <c r="I16" i="5"/>
  <c r="H16" i="5"/>
  <c r="G16" i="5"/>
  <c r="F16" i="5"/>
  <c r="E16" i="5"/>
  <c r="D16" i="5"/>
  <c r="C16" i="5"/>
  <c r="B16" i="5"/>
  <c r="K12" i="5"/>
  <c r="J12" i="5"/>
  <c r="I12" i="5"/>
  <c r="H12" i="5"/>
  <c r="G12" i="5"/>
  <c r="F12" i="5"/>
  <c r="E12" i="5"/>
  <c r="D12" i="5"/>
  <c r="C12" i="5"/>
  <c r="B12" i="5"/>
  <c r="K11" i="5"/>
  <c r="J11" i="5"/>
  <c r="I11" i="5"/>
  <c r="H11" i="5"/>
  <c r="G11" i="5"/>
  <c r="F11" i="5"/>
  <c r="E11" i="5"/>
  <c r="D11" i="5"/>
  <c r="C11" i="5"/>
  <c r="B11" i="5"/>
  <c r="K10" i="5"/>
  <c r="J10" i="5"/>
  <c r="I10" i="5"/>
  <c r="H10" i="5"/>
  <c r="G10" i="5"/>
  <c r="F10" i="5"/>
  <c r="E10" i="5"/>
  <c r="D10" i="5"/>
  <c r="C10" i="5"/>
  <c r="B10" i="5"/>
  <c r="K6" i="5"/>
  <c r="J6" i="5"/>
  <c r="I6" i="5"/>
  <c r="H6" i="5"/>
  <c r="G6" i="5"/>
  <c r="F6" i="5"/>
  <c r="E6" i="5"/>
  <c r="D6" i="5"/>
  <c r="C6" i="5"/>
  <c r="B6" i="5"/>
  <c r="K5" i="5"/>
  <c r="J5" i="5"/>
  <c r="I5" i="5"/>
  <c r="I7" i="5" s="1"/>
  <c r="H5" i="5"/>
  <c r="G5" i="5"/>
  <c r="F5" i="5"/>
  <c r="E5" i="5"/>
  <c r="D5" i="5"/>
  <c r="C5" i="5"/>
  <c r="B5" i="5"/>
  <c r="K4" i="5"/>
  <c r="J4" i="5"/>
  <c r="I4" i="5"/>
  <c r="H4" i="5"/>
  <c r="G4" i="5"/>
  <c r="E4" i="5"/>
  <c r="D4" i="5"/>
  <c r="C4" i="5"/>
  <c r="B4" i="5"/>
  <c r="I62" i="4"/>
  <c r="F15" i="3" s="1"/>
  <c r="H62" i="4"/>
  <c r="E15" i="3" s="1"/>
  <c r="J12" i="4"/>
  <c r="C12" i="4"/>
  <c r="K10" i="4"/>
  <c r="I10" i="4"/>
  <c r="K6" i="4"/>
  <c r="H6" i="4"/>
  <c r="G6" i="4"/>
  <c r="F6" i="4"/>
  <c r="K5" i="4"/>
  <c r="G5" i="4"/>
  <c r="F5" i="4"/>
  <c r="E5" i="4"/>
  <c r="J4" i="4"/>
  <c r="K30" i="3"/>
  <c r="J30" i="3"/>
  <c r="I30" i="3"/>
  <c r="H30" i="3"/>
  <c r="G30" i="3"/>
  <c r="F30" i="3"/>
  <c r="E30" i="3"/>
  <c r="D30" i="3"/>
  <c r="C30" i="3"/>
  <c r="B30" i="3"/>
  <c r="N12" i="4"/>
  <c r="M12" i="4"/>
  <c r="L12" i="4"/>
  <c r="K12" i="4"/>
  <c r="I12" i="4"/>
  <c r="H12" i="4"/>
  <c r="G12" i="4"/>
  <c r="F12" i="4"/>
  <c r="E12" i="4"/>
  <c r="N6" i="4"/>
  <c r="M6" i="4"/>
  <c r="L6" i="4"/>
  <c r="J6" i="4"/>
  <c r="I6" i="4"/>
  <c r="E6" i="4"/>
  <c r="N5" i="4"/>
  <c r="M5" i="4"/>
  <c r="L5" i="4"/>
  <c r="J5" i="4"/>
  <c r="I5" i="4"/>
  <c r="H5" i="4"/>
  <c r="N4" i="4"/>
  <c r="M4" i="4"/>
  <c r="K4" i="4"/>
  <c r="H10" i="4"/>
  <c r="G10" i="4"/>
  <c r="F10" i="4"/>
  <c r="E10" i="4"/>
  <c r="C52" i="9"/>
  <c r="N52" i="9"/>
  <c r="M52" i="9"/>
  <c r="L52" i="9"/>
  <c r="K52" i="9"/>
  <c r="J52" i="9"/>
  <c r="I52" i="9"/>
  <c r="H52" i="9"/>
  <c r="G52" i="9"/>
  <c r="F52" i="9"/>
  <c r="E52" i="9"/>
  <c r="C52" i="8"/>
  <c r="N52" i="8"/>
  <c r="M52" i="8"/>
  <c r="L52" i="8"/>
  <c r="K52" i="8"/>
  <c r="J52" i="8"/>
  <c r="I52" i="8"/>
  <c r="H52" i="8"/>
  <c r="G52" i="8"/>
  <c r="F52" i="8"/>
  <c r="E52" i="8"/>
  <c r="C52" i="7"/>
  <c r="N52" i="7"/>
  <c r="M52" i="7"/>
  <c r="M52" i="6" s="1"/>
  <c r="L52" i="7"/>
  <c r="K52" i="7"/>
  <c r="J52" i="7"/>
  <c r="I52" i="7"/>
  <c r="H52" i="7"/>
  <c r="G52" i="7"/>
  <c r="G52" i="6" s="1"/>
  <c r="F52" i="7"/>
  <c r="E52" i="7"/>
  <c r="C47" i="9"/>
  <c r="N47" i="9"/>
  <c r="M47" i="9"/>
  <c r="L47" i="9"/>
  <c r="K47" i="9"/>
  <c r="J47" i="9"/>
  <c r="I47" i="9"/>
  <c r="H47" i="9"/>
  <c r="G47" i="9"/>
  <c r="F47" i="9"/>
  <c r="E47" i="9"/>
  <c r="C47" i="8"/>
  <c r="N47" i="8"/>
  <c r="M47" i="8"/>
  <c r="L47" i="8"/>
  <c r="K47" i="8"/>
  <c r="J47" i="8"/>
  <c r="I47" i="8"/>
  <c r="H47" i="8"/>
  <c r="G47" i="8"/>
  <c r="F47" i="8"/>
  <c r="E47" i="8"/>
  <c r="C47" i="7"/>
  <c r="N47" i="7"/>
  <c r="M47" i="7"/>
  <c r="L47" i="7"/>
  <c r="K47" i="7"/>
  <c r="J47" i="7"/>
  <c r="I47" i="7"/>
  <c r="H47" i="7"/>
  <c r="G47" i="7"/>
  <c r="F47" i="7"/>
  <c r="E47" i="7"/>
  <c r="F13" i="1"/>
  <c r="F12" i="1"/>
  <c r="F10" i="1"/>
  <c r="C89" i="9"/>
  <c r="C89" i="8"/>
  <c r="C89" i="7"/>
  <c r="F9" i="1"/>
  <c r="C80" i="9"/>
  <c r="C80" i="8"/>
  <c r="C80" i="7"/>
  <c r="F8" i="1"/>
  <c r="C82" i="7"/>
  <c r="F6" i="1"/>
  <c r="C6" i="4"/>
  <c r="C5" i="4"/>
  <c r="F5" i="1"/>
  <c r="J72" i="5" l="1"/>
  <c r="F50" i="5"/>
  <c r="E50" i="5"/>
  <c r="E52" i="6"/>
  <c r="N66" i="9"/>
  <c r="F19" i="5"/>
  <c r="H52" i="6"/>
  <c r="C96" i="6"/>
  <c r="H83" i="8"/>
  <c r="I83" i="8" s="1"/>
  <c r="J83" i="8" s="1"/>
  <c r="K83" i="8" s="1"/>
  <c r="L83" i="8" s="1"/>
  <c r="M83" i="8" s="1"/>
  <c r="N83" i="8" s="1"/>
  <c r="N52" i="6"/>
  <c r="N38" i="4"/>
  <c r="F16" i="4"/>
  <c r="C47" i="6"/>
  <c r="C39" i="4" s="1"/>
  <c r="F52" i="6"/>
  <c r="G16" i="4"/>
  <c r="E7" i="5"/>
  <c r="P21" i="6"/>
  <c r="H83" i="7"/>
  <c r="M7" i="4"/>
  <c r="M13" i="4" s="1"/>
  <c r="P7" i="6"/>
  <c r="P6" i="6"/>
  <c r="N16" i="4"/>
  <c r="P5" i="6"/>
  <c r="D19" i="3"/>
  <c r="H7" i="5"/>
  <c r="L8" i="6"/>
  <c r="L40" i="6" s="1"/>
  <c r="L61" i="4" s="1"/>
  <c r="J41" i="6"/>
  <c r="K7" i="5"/>
  <c r="C16" i="4"/>
  <c r="E17" i="4" s="1"/>
  <c r="K17" i="4"/>
  <c r="I16" i="4"/>
  <c r="J17" i="4" s="1"/>
  <c r="C8" i="6"/>
  <c r="C40" i="6" s="1"/>
  <c r="L16" i="4"/>
  <c r="L17" i="4" s="1"/>
  <c r="K8" i="6"/>
  <c r="K40" i="6" s="1"/>
  <c r="G65" i="6"/>
  <c r="G66" i="6" s="1"/>
  <c r="I41" i="6"/>
  <c r="D21" i="3"/>
  <c r="I19" i="5"/>
  <c r="K19" i="5"/>
  <c r="F38" i="4"/>
  <c r="H19" i="5"/>
  <c r="J19" i="5"/>
  <c r="F66" i="9"/>
  <c r="H33" i="4"/>
  <c r="G38" i="4"/>
  <c r="F65" i="6"/>
  <c r="E19" i="3"/>
  <c r="B19" i="5"/>
  <c r="D20" i="3"/>
  <c r="C19" i="5"/>
  <c r="E20" i="3"/>
  <c r="D13" i="5"/>
  <c r="G20" i="3"/>
  <c r="E13" i="5"/>
  <c r="L38" i="4"/>
  <c r="H20" i="3"/>
  <c r="N33" i="6"/>
  <c r="F33" i="4"/>
  <c r="J13" i="5"/>
  <c r="B13" i="5"/>
  <c r="I20" i="3"/>
  <c r="I19" i="3"/>
  <c r="K13" i="5"/>
  <c r="J19" i="3"/>
  <c r="I21" i="3"/>
  <c r="G19" i="3"/>
  <c r="K33" i="4"/>
  <c r="J33" i="6"/>
  <c r="H19" i="3"/>
  <c r="J20" i="3"/>
  <c r="L33" i="4"/>
  <c r="C7" i="5"/>
  <c r="H65" i="6"/>
  <c r="H66" i="6" s="1"/>
  <c r="J65" i="6"/>
  <c r="J66" i="6" s="1"/>
  <c r="E21" i="3"/>
  <c r="H38" i="4"/>
  <c r="G7" i="5"/>
  <c r="N65" i="6"/>
  <c r="N66" i="6" s="1"/>
  <c r="J38" i="4"/>
  <c r="N33" i="4"/>
  <c r="G21" i="3"/>
  <c r="K38" i="4"/>
  <c r="F66" i="6"/>
  <c r="K65" i="6"/>
  <c r="K66" i="6" s="1"/>
  <c r="F20" i="3"/>
  <c r="H21" i="3"/>
  <c r="J7" i="5"/>
  <c r="N47" i="6"/>
  <c r="K68" i="4"/>
  <c r="O39" i="1"/>
  <c r="C28" i="1" s="1"/>
  <c r="K47" i="6"/>
  <c r="C91" i="7"/>
  <c r="C89" i="6"/>
  <c r="L47" i="6"/>
  <c r="C52" i="6"/>
  <c r="P4" i="6"/>
  <c r="P14" i="6"/>
  <c r="P23" i="6"/>
  <c r="M47" i="6"/>
  <c r="I11" i="3"/>
  <c r="I46" i="6"/>
  <c r="P13" i="6"/>
  <c r="I33" i="4"/>
  <c r="E82" i="7"/>
  <c r="C91" i="8"/>
  <c r="C91" i="9"/>
  <c r="I8" i="6"/>
  <c r="C82" i="9"/>
  <c r="E82" i="9" s="1"/>
  <c r="O41" i="1"/>
  <c r="C30" i="1" s="1"/>
  <c r="I52" i="6"/>
  <c r="J10" i="4"/>
  <c r="C4" i="4"/>
  <c r="C7" i="4" s="1"/>
  <c r="C13" i="4" s="1"/>
  <c r="N10" i="4"/>
  <c r="E47" i="6"/>
  <c r="J52" i="6"/>
  <c r="K7" i="4"/>
  <c r="F4" i="4"/>
  <c r="F7" i="4" s="1"/>
  <c r="G19" i="5"/>
  <c r="G50" i="5"/>
  <c r="M65" i="6"/>
  <c r="M66" i="6" s="1"/>
  <c r="M33" i="6"/>
  <c r="M38" i="4"/>
  <c r="E64" i="6"/>
  <c r="P32" i="6"/>
  <c r="H8" i="7"/>
  <c r="H3" i="6"/>
  <c r="H4" i="4"/>
  <c r="H7" i="4" s="1"/>
  <c r="F4" i="1"/>
  <c r="C10" i="4" s="1"/>
  <c r="F47" i="6"/>
  <c r="C76" i="7"/>
  <c r="C80" i="6"/>
  <c r="C84" i="7"/>
  <c r="H47" i="6"/>
  <c r="K52" i="6"/>
  <c r="L4" i="4"/>
  <c r="L7" i="4" s="1"/>
  <c r="L10" i="4"/>
  <c r="I4" i="4"/>
  <c r="I7" i="4" s="1"/>
  <c r="N41" i="6"/>
  <c r="C82" i="8"/>
  <c r="E82" i="8" s="1"/>
  <c r="O40" i="1"/>
  <c r="C29" i="1" s="1"/>
  <c r="F7" i="1"/>
  <c r="G62" i="4"/>
  <c r="D15" i="3" s="1"/>
  <c r="F62" i="4"/>
  <c r="C15" i="3" s="1"/>
  <c r="E62" i="4"/>
  <c r="B15" i="3" s="1"/>
  <c r="N62" i="4"/>
  <c r="K15" i="3" s="1"/>
  <c r="M62" i="4"/>
  <c r="J15" i="3" s="1"/>
  <c r="L62" i="4"/>
  <c r="I15" i="3" s="1"/>
  <c r="K62" i="4"/>
  <c r="H15" i="3" s="1"/>
  <c r="J62" i="4"/>
  <c r="G15" i="3" s="1"/>
  <c r="C62" i="4"/>
  <c r="C84" i="8"/>
  <c r="C93" i="8" s="1"/>
  <c r="C76" i="8"/>
  <c r="C44" i="4"/>
  <c r="I47" i="6"/>
  <c r="L52" i="6"/>
  <c r="J7" i="4"/>
  <c r="D7" i="5"/>
  <c r="G28" i="5"/>
  <c r="I27" i="5"/>
  <c r="P20" i="6"/>
  <c r="P30" i="6"/>
  <c r="E33" i="6"/>
  <c r="E33" i="4"/>
  <c r="B19" i="3"/>
  <c r="E38" i="4"/>
  <c r="G47" i="6"/>
  <c r="C76" i="9"/>
  <c r="J47" i="6"/>
  <c r="N7" i="4"/>
  <c r="F17" i="4"/>
  <c r="B7" i="5"/>
  <c r="C65" i="6"/>
  <c r="C66" i="6" s="1"/>
  <c r="F41" i="6"/>
  <c r="E65" i="6"/>
  <c r="M8" i="6"/>
  <c r="M16" i="4"/>
  <c r="E4" i="4"/>
  <c r="E7" i="4" s="1"/>
  <c r="N8" i="6"/>
  <c r="P24" i="6"/>
  <c r="P31" i="6"/>
  <c r="G4" i="4"/>
  <c r="G7" i="4" s="1"/>
  <c r="D19" i="5"/>
  <c r="C38" i="4"/>
  <c r="P29" i="6"/>
  <c r="N40" i="8"/>
  <c r="M10" i="4"/>
  <c r="C13" i="5"/>
  <c r="K72" i="5"/>
  <c r="E8" i="6"/>
  <c r="P28" i="6"/>
  <c r="F13" i="5"/>
  <c r="I26" i="5"/>
  <c r="F28" i="5"/>
  <c r="E94" i="5"/>
  <c r="C41" i="6"/>
  <c r="G13" i="5"/>
  <c r="C72" i="5"/>
  <c r="E41" i="6"/>
  <c r="I38" i="4"/>
  <c r="I33" i="6"/>
  <c r="I65" i="6"/>
  <c r="I66" i="6" s="1"/>
  <c r="H13" i="5"/>
  <c r="E27" i="5"/>
  <c r="E28" i="5" s="1"/>
  <c r="H94" i="5"/>
  <c r="C33" i="6"/>
  <c r="K21" i="5"/>
  <c r="L65" i="6"/>
  <c r="L66" i="6" s="1"/>
  <c r="L33" i="6"/>
  <c r="I83" i="7"/>
  <c r="E19" i="5"/>
  <c r="F94" i="5"/>
  <c r="F8" i="6"/>
  <c r="G41" i="6"/>
  <c r="I13" i="5"/>
  <c r="G94" i="5"/>
  <c r="G8" i="6"/>
  <c r="G41" i="8"/>
  <c r="D28" i="5"/>
  <c r="B50" i="5"/>
  <c r="F33" i="6"/>
  <c r="N65" i="8"/>
  <c r="N66" i="8" s="1"/>
  <c r="N33" i="8"/>
  <c r="C50" i="5"/>
  <c r="L41" i="6"/>
  <c r="G33" i="6"/>
  <c r="M41" i="6"/>
  <c r="C8" i="7"/>
  <c r="P4" i="7"/>
  <c r="F40" i="7"/>
  <c r="I65" i="7"/>
  <c r="I66" i="7" s="1"/>
  <c r="I33" i="7"/>
  <c r="E40" i="8"/>
  <c r="G40" i="7"/>
  <c r="P5" i="8"/>
  <c r="H41" i="6"/>
  <c r="C8" i="8"/>
  <c r="H33" i="6"/>
  <c r="P20" i="7"/>
  <c r="P30" i="7"/>
  <c r="P3" i="8"/>
  <c r="F8" i="8"/>
  <c r="F41" i="7"/>
  <c r="C65" i="7"/>
  <c r="C66" i="7" s="1"/>
  <c r="F33" i="7"/>
  <c r="H66" i="7"/>
  <c r="G8" i="8"/>
  <c r="E46" i="8"/>
  <c r="P13" i="8"/>
  <c r="J8" i="6"/>
  <c r="K41" i="6"/>
  <c r="P3" i="9"/>
  <c r="P8" i="9" s="1"/>
  <c r="F8" i="9"/>
  <c r="K33" i="6"/>
  <c r="N40" i="7"/>
  <c r="P6" i="7"/>
  <c r="I8" i="7"/>
  <c r="G40" i="9"/>
  <c r="P5" i="7"/>
  <c r="E96" i="7"/>
  <c r="P7" i="8"/>
  <c r="H41" i="8"/>
  <c r="C40" i="9"/>
  <c r="C42" i="9" s="1"/>
  <c r="G65" i="9"/>
  <c r="G66" i="9" s="1"/>
  <c r="M40" i="7"/>
  <c r="P7" i="7"/>
  <c r="P24" i="7"/>
  <c r="P32" i="7"/>
  <c r="G33" i="7"/>
  <c r="P6" i="8"/>
  <c r="P14" i="8"/>
  <c r="I41" i="8"/>
  <c r="J65" i="9"/>
  <c r="P3" i="7"/>
  <c r="P28" i="7"/>
  <c r="J33" i="9"/>
  <c r="F65" i="7"/>
  <c r="F66" i="7" s="1"/>
  <c r="C65" i="8"/>
  <c r="C66" i="8" s="1"/>
  <c r="C33" i="8"/>
  <c r="J42" i="9"/>
  <c r="C41" i="8"/>
  <c r="P21" i="8"/>
  <c r="C41" i="7"/>
  <c r="P21" i="7"/>
  <c r="F41" i="8"/>
  <c r="E8" i="7"/>
  <c r="E33" i="7"/>
  <c r="P20" i="8"/>
  <c r="J8" i="7"/>
  <c r="J33" i="7"/>
  <c r="K41" i="7"/>
  <c r="K65" i="7"/>
  <c r="K66" i="7" s="1"/>
  <c r="H8" i="8"/>
  <c r="J41" i="8"/>
  <c r="H40" i="9"/>
  <c r="F83" i="9"/>
  <c r="K8" i="7"/>
  <c r="K33" i="7"/>
  <c r="L41" i="7"/>
  <c r="L65" i="7"/>
  <c r="L66" i="7" s="1"/>
  <c r="I8" i="8"/>
  <c r="K41" i="8"/>
  <c r="I40" i="9"/>
  <c r="P31" i="9"/>
  <c r="L8" i="7"/>
  <c r="L33" i="7"/>
  <c r="M41" i="7"/>
  <c r="E46" i="7"/>
  <c r="M65" i="7"/>
  <c r="M66" i="7" s="1"/>
  <c r="J8" i="8"/>
  <c r="L41" i="8"/>
  <c r="E41" i="8"/>
  <c r="P30" i="9"/>
  <c r="M33" i="7"/>
  <c r="N41" i="7"/>
  <c r="N65" i="7"/>
  <c r="N66" i="7" s="1"/>
  <c r="K8" i="8"/>
  <c r="M41" i="8"/>
  <c r="P29" i="9"/>
  <c r="H66" i="9"/>
  <c r="L8" i="8"/>
  <c r="I66" i="9"/>
  <c r="M8" i="8"/>
  <c r="M65" i="8"/>
  <c r="M66" i="8" s="1"/>
  <c r="P32" i="8"/>
  <c r="J66" i="9"/>
  <c r="G65" i="8"/>
  <c r="G66" i="8" s="1"/>
  <c r="H33" i="9"/>
  <c r="P28" i="8"/>
  <c r="P29" i="8"/>
  <c r="P30" i="8"/>
  <c r="H65" i="8"/>
  <c r="H66" i="8" s="1"/>
  <c r="E8" i="9"/>
  <c r="I33" i="9"/>
  <c r="E33" i="8"/>
  <c r="J65" i="8"/>
  <c r="J66" i="8" s="1"/>
  <c r="P20" i="9"/>
  <c r="F33" i="8"/>
  <c r="K65" i="8"/>
  <c r="K66" i="8" s="1"/>
  <c r="L65" i="8"/>
  <c r="L66" i="8" s="1"/>
  <c r="E96" i="8"/>
  <c r="E96" i="9"/>
  <c r="P28" i="9"/>
  <c r="P32" i="9"/>
  <c r="C33" i="9"/>
  <c r="K33" i="8"/>
  <c r="E66" i="9"/>
  <c r="E33" i="9"/>
  <c r="L33" i="8"/>
  <c r="F33" i="9"/>
  <c r="K8" i="9"/>
  <c r="L41" i="9"/>
  <c r="L8" i="9"/>
  <c r="M41" i="9"/>
  <c r="M8" i="9"/>
  <c r="N41" i="9"/>
  <c r="N8" i="9"/>
  <c r="C68" i="4" l="1"/>
  <c r="C84" i="9"/>
  <c r="C93" i="9" s="1"/>
  <c r="G17" i="4"/>
  <c r="C82" i="6"/>
  <c r="C43" i="4" s="1"/>
  <c r="C45" i="4" s="1"/>
  <c r="L21" i="4"/>
  <c r="C34" i="4"/>
  <c r="C35" i="4" s="1"/>
  <c r="L26" i="4"/>
  <c r="I39" i="3"/>
  <c r="L57" i="4"/>
  <c r="L68" i="4"/>
  <c r="C40" i="4"/>
  <c r="M17" i="4"/>
  <c r="E21" i="5"/>
  <c r="P33" i="6"/>
  <c r="F21" i="5"/>
  <c r="J21" i="5"/>
  <c r="E66" i="6"/>
  <c r="D30" i="1"/>
  <c r="L40" i="9"/>
  <c r="J40" i="8"/>
  <c r="G42" i="9"/>
  <c r="G42" i="7"/>
  <c r="G40" i="6"/>
  <c r="G68" i="4"/>
  <c r="G39" i="4"/>
  <c r="G40" i="4" s="1"/>
  <c r="G34" i="4"/>
  <c r="G35" i="4" s="1"/>
  <c r="D38" i="3"/>
  <c r="D22" i="3"/>
  <c r="O38" i="4"/>
  <c r="E75" i="7"/>
  <c r="I13" i="4"/>
  <c r="I8" i="4"/>
  <c r="F34" i="4"/>
  <c r="F35" i="4" s="1"/>
  <c r="C38" i="3"/>
  <c r="C22" i="3"/>
  <c r="F39" i="4"/>
  <c r="F40" i="4" s="1"/>
  <c r="C57" i="4"/>
  <c r="C61" i="4"/>
  <c r="C63" i="4" s="1"/>
  <c r="C26" i="4"/>
  <c r="C21" i="4"/>
  <c r="C42" i="6"/>
  <c r="F82" i="7"/>
  <c r="E82" i="6"/>
  <c r="E43" i="4" s="1"/>
  <c r="C34" i="1"/>
  <c r="H22" i="3"/>
  <c r="H38" i="3"/>
  <c r="K39" i="4"/>
  <c r="K40" i="4" s="1"/>
  <c r="K34" i="4"/>
  <c r="K35" i="4" s="1"/>
  <c r="F40" i="8"/>
  <c r="E8" i="4"/>
  <c r="E13" i="4"/>
  <c r="N42" i="7"/>
  <c r="N13" i="4"/>
  <c r="O8" i="4"/>
  <c r="N8" i="4"/>
  <c r="L8" i="4"/>
  <c r="L13" i="4"/>
  <c r="C31" i="1"/>
  <c r="E44" i="4" s="1"/>
  <c r="G8" i="4"/>
  <c r="G13" i="4"/>
  <c r="M40" i="6"/>
  <c r="M68" i="4"/>
  <c r="L42" i="6"/>
  <c r="E39" i="4"/>
  <c r="E40" i="4" s="1"/>
  <c r="E34" i="4"/>
  <c r="E35" i="4" s="1"/>
  <c r="B22" i="3"/>
  <c r="B38" i="3"/>
  <c r="I40" i="7"/>
  <c r="J83" i="7"/>
  <c r="K40" i="8"/>
  <c r="E40" i="6"/>
  <c r="E68" i="4"/>
  <c r="G83" i="9"/>
  <c r="F83" i="6"/>
  <c r="P33" i="7"/>
  <c r="C21" i="5"/>
  <c r="E75" i="8"/>
  <c r="H8" i="4"/>
  <c r="H13" i="4"/>
  <c r="I68" i="4"/>
  <c r="I40" i="6"/>
  <c r="I39" i="4"/>
  <c r="I40" i="4" s="1"/>
  <c r="I34" i="4"/>
  <c r="I35" i="4" s="1"/>
  <c r="F38" i="3"/>
  <c r="F22" i="3"/>
  <c r="K40" i="9"/>
  <c r="P33" i="8"/>
  <c r="M40" i="8"/>
  <c r="L40" i="7"/>
  <c r="G40" i="8"/>
  <c r="N40" i="9"/>
  <c r="P33" i="9"/>
  <c r="I28" i="5"/>
  <c r="C97" i="8"/>
  <c r="H16" i="4"/>
  <c r="H8" i="6"/>
  <c r="P3" i="6"/>
  <c r="P8" i="6" s="1"/>
  <c r="I21" i="5"/>
  <c r="J40" i="6"/>
  <c r="J68" i="4"/>
  <c r="O33" i="4"/>
  <c r="L40" i="8"/>
  <c r="H42" i="9"/>
  <c r="C40" i="8"/>
  <c r="C42" i="8" s="1"/>
  <c r="K42" i="6"/>
  <c r="K57" i="4"/>
  <c r="H39" i="3"/>
  <c r="K26" i="4"/>
  <c r="K21" i="4"/>
  <c r="K61" i="4"/>
  <c r="F40" i="6"/>
  <c r="F68" i="4"/>
  <c r="J34" i="4"/>
  <c r="J35" i="4" s="1"/>
  <c r="G38" i="3"/>
  <c r="G22" i="3"/>
  <c r="J39" i="4"/>
  <c r="J40" i="4" s="1"/>
  <c r="H39" i="4"/>
  <c r="H40" i="4" s="1"/>
  <c r="H34" i="4"/>
  <c r="H35" i="4" s="1"/>
  <c r="E38" i="3"/>
  <c r="E22" i="3"/>
  <c r="H40" i="7"/>
  <c r="L63" i="4"/>
  <c r="I22" i="3"/>
  <c r="L39" i="4"/>
  <c r="L40" i="4" s="1"/>
  <c r="L34" i="4"/>
  <c r="L35" i="4" s="1"/>
  <c r="I38" i="3"/>
  <c r="M8" i="4"/>
  <c r="E40" i="9"/>
  <c r="I40" i="8"/>
  <c r="B21" i="5"/>
  <c r="K40" i="7"/>
  <c r="P8" i="7"/>
  <c r="F96" i="7"/>
  <c r="E96" i="6"/>
  <c r="F40" i="9"/>
  <c r="F42" i="7"/>
  <c r="F96" i="9"/>
  <c r="D21" i="5"/>
  <c r="F82" i="8"/>
  <c r="C35" i="1"/>
  <c r="C40" i="1" s="1"/>
  <c r="D29" i="1" s="1"/>
  <c r="F82" i="9"/>
  <c r="C36" i="1"/>
  <c r="C41" i="1" s="1"/>
  <c r="K22" i="3"/>
  <c r="N34" i="4"/>
  <c r="N35" i="4" s="1"/>
  <c r="K38" i="3"/>
  <c r="N39" i="4"/>
  <c r="N40" i="4" s="1"/>
  <c r="M40" i="9"/>
  <c r="I42" i="9"/>
  <c r="M42" i="7"/>
  <c r="H21" i="5"/>
  <c r="N42" i="8"/>
  <c r="E75" i="9"/>
  <c r="N17" i="4"/>
  <c r="C93" i="7"/>
  <c r="F8" i="4"/>
  <c r="F13" i="4"/>
  <c r="P8" i="8"/>
  <c r="E42" i="8"/>
  <c r="J40" i="7"/>
  <c r="F96" i="8"/>
  <c r="H40" i="8"/>
  <c r="E40" i="7"/>
  <c r="C40" i="7"/>
  <c r="C42" i="7" s="1"/>
  <c r="G21" i="5"/>
  <c r="N40" i="6"/>
  <c r="N68" i="4"/>
  <c r="C97" i="9"/>
  <c r="J13" i="4"/>
  <c r="J8" i="4"/>
  <c r="C76" i="6"/>
  <c r="C52" i="4"/>
  <c r="K8" i="4"/>
  <c r="K13" i="4"/>
  <c r="J22" i="3"/>
  <c r="M39" i="4"/>
  <c r="M40" i="4" s="1"/>
  <c r="J38" i="3"/>
  <c r="M34" i="4"/>
  <c r="M35" i="4" s="1"/>
  <c r="C91" i="6"/>
  <c r="C51" i="4"/>
  <c r="C84" i="6" l="1"/>
  <c r="C93" i="6" s="1"/>
  <c r="N42" i="6"/>
  <c r="N57" i="4"/>
  <c r="N61" i="4"/>
  <c r="K39" i="3"/>
  <c r="N26" i="4"/>
  <c r="N21" i="4"/>
  <c r="G96" i="8"/>
  <c r="G96" i="7"/>
  <c r="F96" i="6"/>
  <c r="E42" i="9"/>
  <c r="O34" i="4"/>
  <c r="O35" i="4" s="1"/>
  <c r="C37" i="1"/>
  <c r="C39" i="1"/>
  <c r="D28" i="1" s="1"/>
  <c r="F42" i="9"/>
  <c r="I42" i="8"/>
  <c r="I42" i="7"/>
  <c r="G82" i="8"/>
  <c r="D35" i="1"/>
  <c r="D40" i="1" s="1"/>
  <c r="E29" i="1" s="1"/>
  <c r="L42" i="8"/>
  <c r="M42" i="9"/>
  <c r="E45" i="4"/>
  <c r="H40" i="6"/>
  <c r="H68" i="4"/>
  <c r="K42" i="9"/>
  <c r="G82" i="7"/>
  <c r="F82" i="6"/>
  <c r="D34" i="1"/>
  <c r="C53" i="4"/>
  <c r="K83" i="7"/>
  <c r="G96" i="9"/>
  <c r="K42" i="7"/>
  <c r="H17" i="4"/>
  <c r="I17" i="4"/>
  <c r="O16" i="4"/>
  <c r="H83" i="9"/>
  <c r="G83" i="6"/>
  <c r="J42" i="7"/>
  <c r="C97" i="7"/>
  <c r="F61" i="4"/>
  <c r="F42" i="6"/>
  <c r="F26" i="4"/>
  <c r="F21" i="4"/>
  <c r="F57" i="4"/>
  <c r="C39" i="3"/>
  <c r="C98" i="8"/>
  <c r="F42" i="8"/>
  <c r="J42" i="8"/>
  <c r="H42" i="7"/>
  <c r="I42" i="6"/>
  <c r="I61" i="4"/>
  <c r="I57" i="4"/>
  <c r="F39" i="3"/>
  <c r="I26" i="4"/>
  <c r="I21" i="4"/>
  <c r="K42" i="8"/>
  <c r="K63" i="4"/>
  <c r="H11" i="3"/>
  <c r="G42" i="8"/>
  <c r="M42" i="6"/>
  <c r="M61" i="4"/>
  <c r="M26" i="4"/>
  <c r="M21" i="4"/>
  <c r="M57" i="4"/>
  <c r="J39" i="3"/>
  <c r="H42" i="8"/>
  <c r="L42" i="7"/>
  <c r="O39" i="4"/>
  <c r="O40" i="4" s="1"/>
  <c r="E75" i="6"/>
  <c r="N42" i="9"/>
  <c r="E42" i="7"/>
  <c r="G82" i="9"/>
  <c r="D36" i="1"/>
  <c r="D41" i="1" s="1"/>
  <c r="E30" i="1" s="1"/>
  <c r="E61" i="4"/>
  <c r="B39" i="3"/>
  <c r="E26" i="4"/>
  <c r="E21" i="4"/>
  <c r="E57" i="4"/>
  <c r="E42" i="6"/>
  <c r="C98" i="9"/>
  <c r="G42" i="6"/>
  <c r="G61" i="4"/>
  <c r="G57" i="4"/>
  <c r="G26" i="4"/>
  <c r="G21" i="4"/>
  <c r="D39" i="3"/>
  <c r="L42" i="9"/>
  <c r="J42" i="6"/>
  <c r="J57" i="4"/>
  <c r="G39" i="3"/>
  <c r="J26" i="4"/>
  <c r="J21" i="4"/>
  <c r="J61" i="4"/>
  <c r="M42" i="8"/>
  <c r="J11" i="3" l="1"/>
  <c r="M63" i="4"/>
  <c r="C98" i="7"/>
  <c r="C97" i="6"/>
  <c r="C98" i="6" s="1"/>
  <c r="L83" i="7"/>
  <c r="G11" i="3"/>
  <c r="J63" i="4"/>
  <c r="H96" i="9"/>
  <c r="G63" i="4"/>
  <c r="D11" i="3"/>
  <c r="C64" i="4"/>
  <c r="C65" i="4" s="1"/>
  <c r="C56" i="4"/>
  <c r="C58" i="4" s="1"/>
  <c r="C73" i="4"/>
  <c r="K11" i="3"/>
  <c r="N63" i="4"/>
  <c r="B11" i="3"/>
  <c r="E63" i="4"/>
  <c r="I83" i="9"/>
  <c r="H83" i="6"/>
  <c r="H82" i="8"/>
  <c r="E35" i="1"/>
  <c r="E40" i="1" s="1"/>
  <c r="F29" i="1" s="1"/>
  <c r="D39" i="1"/>
  <c r="E28" i="1" s="1"/>
  <c r="D37" i="1"/>
  <c r="F43" i="4"/>
  <c r="H96" i="7"/>
  <c r="G96" i="6"/>
  <c r="H82" i="9"/>
  <c r="E36" i="1"/>
  <c r="E41" i="1" s="1"/>
  <c r="F30" i="1" s="1"/>
  <c r="F63" i="4"/>
  <c r="C11" i="3"/>
  <c r="H82" i="7"/>
  <c r="G82" i="6"/>
  <c r="E34" i="1"/>
  <c r="H61" i="4"/>
  <c r="H57" i="4"/>
  <c r="H42" i="6"/>
  <c r="E39" i="3"/>
  <c r="H26" i="4"/>
  <c r="O26" i="4" s="1"/>
  <c r="H21" i="4"/>
  <c r="O21" i="4" s="1"/>
  <c r="F11" i="3"/>
  <c r="I63" i="4"/>
  <c r="D31" i="1"/>
  <c r="F44" i="4" s="1"/>
  <c r="H96" i="8"/>
  <c r="J83" i="9" l="1"/>
  <c r="I83" i="6"/>
  <c r="I82" i="8"/>
  <c r="F35" i="1"/>
  <c r="F40" i="1" s="1"/>
  <c r="G29" i="1" s="1"/>
  <c r="I96" i="8"/>
  <c r="E31" i="1"/>
  <c r="G44" i="4" s="1"/>
  <c r="F45" i="4"/>
  <c r="E39" i="1"/>
  <c r="F28" i="1" s="1"/>
  <c r="E37" i="1"/>
  <c r="G43" i="4"/>
  <c r="I96" i="7"/>
  <c r="H96" i="6"/>
  <c r="I96" i="9"/>
  <c r="I82" i="7"/>
  <c r="H82" i="6"/>
  <c r="F34" i="1"/>
  <c r="H63" i="4"/>
  <c r="E11" i="3"/>
  <c r="I82" i="9"/>
  <c r="F36" i="1"/>
  <c r="F41" i="1" s="1"/>
  <c r="G30" i="1" s="1"/>
  <c r="M83" i="7"/>
  <c r="G45" i="4" l="1"/>
  <c r="N83" i="7"/>
  <c r="F37" i="1"/>
  <c r="F39" i="1"/>
  <c r="G28" i="1"/>
  <c r="F31" i="1"/>
  <c r="H44" i="4" s="1"/>
  <c r="H43" i="4"/>
  <c r="J96" i="8"/>
  <c r="J82" i="7"/>
  <c r="I82" i="6"/>
  <c r="G34" i="1"/>
  <c r="J82" i="9"/>
  <c r="G36" i="1"/>
  <c r="G41" i="1" s="1"/>
  <c r="H30" i="1" s="1"/>
  <c r="J96" i="9"/>
  <c r="J82" i="8"/>
  <c r="G35" i="1"/>
  <c r="G40" i="1" s="1"/>
  <c r="H29" i="1" s="1"/>
  <c r="I96" i="6"/>
  <c r="J96" i="7"/>
  <c r="K83" i="9"/>
  <c r="J83" i="6"/>
  <c r="H45" i="4" l="1"/>
  <c r="K96" i="8"/>
  <c r="K82" i="8"/>
  <c r="H35" i="1"/>
  <c r="H40" i="1" s="1"/>
  <c r="I29" i="1" s="1"/>
  <c r="L83" i="9"/>
  <c r="K83" i="6"/>
  <c r="K96" i="9"/>
  <c r="K96" i="7"/>
  <c r="J96" i="6"/>
  <c r="K82" i="9"/>
  <c r="H36" i="1"/>
  <c r="H41" i="1" s="1"/>
  <c r="I30" i="1" s="1"/>
  <c r="G37" i="1"/>
  <c r="G39" i="1"/>
  <c r="H28" i="1"/>
  <c r="G31" i="1"/>
  <c r="I44" i="4" s="1"/>
  <c r="I43" i="4"/>
  <c r="I45" i="4" s="1"/>
  <c r="K82" i="7"/>
  <c r="J82" i="6"/>
  <c r="H34" i="1"/>
  <c r="L82" i="8" l="1"/>
  <c r="I35" i="1"/>
  <c r="I40" i="1" s="1"/>
  <c r="J29" i="1" s="1"/>
  <c r="H37" i="1"/>
  <c r="H39" i="1"/>
  <c r="I28" i="1" s="1"/>
  <c r="L96" i="8"/>
  <c r="K96" i="6"/>
  <c r="L96" i="7"/>
  <c r="L96" i="9"/>
  <c r="H31" i="1"/>
  <c r="J44" i="4" s="1"/>
  <c r="M83" i="9"/>
  <c r="L83" i="6"/>
  <c r="J43" i="4"/>
  <c r="L82" i="9"/>
  <c r="I36" i="1"/>
  <c r="I41" i="1" s="1"/>
  <c r="J30" i="1" s="1"/>
  <c r="L82" i="7"/>
  <c r="K82" i="6"/>
  <c r="I34" i="1"/>
  <c r="J45" i="4" l="1"/>
  <c r="I31" i="1"/>
  <c r="K44" i="4" s="1"/>
  <c r="M96" i="7"/>
  <c r="L96" i="6"/>
  <c r="L82" i="6"/>
  <c r="M82" i="7"/>
  <c r="J34" i="1"/>
  <c r="N83" i="9"/>
  <c r="N83" i="6" s="1"/>
  <c r="M83" i="6"/>
  <c r="M96" i="9"/>
  <c r="M82" i="9"/>
  <c r="J36" i="1"/>
  <c r="J41" i="1" s="1"/>
  <c r="K30" i="1" s="1"/>
  <c r="M96" i="8"/>
  <c r="M82" i="8"/>
  <c r="J35" i="1"/>
  <c r="J40" i="1" s="1"/>
  <c r="K29" i="1" s="1"/>
  <c r="I37" i="1"/>
  <c r="I39" i="1"/>
  <c r="J28" i="1" s="1"/>
  <c r="K43" i="4"/>
  <c r="K45" i="4" l="1"/>
  <c r="J31" i="1"/>
  <c r="L44" i="4" s="1"/>
  <c r="N96" i="7"/>
  <c r="M96" i="6"/>
  <c r="J37" i="1"/>
  <c r="J39" i="1"/>
  <c r="K28" i="1" s="1"/>
  <c r="N82" i="7"/>
  <c r="M82" i="6"/>
  <c r="K34" i="1"/>
  <c r="N82" i="9"/>
  <c r="L36" i="1" s="1"/>
  <c r="K36" i="1"/>
  <c r="K41" i="1" s="1"/>
  <c r="L30" i="1" s="1"/>
  <c r="N82" i="8"/>
  <c r="L35" i="1" s="1"/>
  <c r="K35" i="1"/>
  <c r="K40" i="1" s="1"/>
  <c r="L29" i="1" s="1"/>
  <c r="N96" i="8"/>
  <c r="L43" i="4"/>
  <c r="N96" i="9"/>
  <c r="K31" i="1" l="1"/>
  <c r="M44" i="4" s="1"/>
  <c r="K39" i="1"/>
  <c r="L28" i="1" s="1"/>
  <c r="L31" i="1" s="1"/>
  <c r="N44" i="4" s="1"/>
  <c r="K37" i="1"/>
  <c r="L45" i="4"/>
  <c r="N82" i="6"/>
  <c r="N43" i="4" s="1"/>
  <c r="L34" i="1"/>
  <c r="L40" i="1"/>
  <c r="N96" i="6"/>
  <c r="M43" i="4"/>
  <c r="L41" i="1"/>
  <c r="M45" i="4" l="1"/>
  <c r="N45" i="4"/>
  <c r="L39" i="1"/>
  <c r="L37" i="1"/>
  <c r="C44" i="7" l="1"/>
  <c r="C11" i="6"/>
  <c r="C44" i="9"/>
  <c r="C44" i="8"/>
  <c r="C44" i="6" l="1"/>
  <c r="E44" i="9"/>
  <c r="E44" i="8"/>
  <c r="E44" i="7"/>
  <c r="E11" i="6"/>
  <c r="F44" i="9" l="1"/>
  <c r="F44" i="8"/>
  <c r="E44" i="6"/>
  <c r="F44" i="7"/>
  <c r="F11" i="6"/>
  <c r="G44" i="9" l="1"/>
  <c r="F44" i="6"/>
  <c r="G44" i="7"/>
  <c r="G11" i="6"/>
  <c r="G44" i="8"/>
  <c r="H44" i="7" l="1"/>
  <c r="H11" i="6"/>
  <c r="G44" i="6"/>
  <c r="H44" i="8"/>
  <c r="H44" i="9"/>
  <c r="I44" i="8" l="1"/>
  <c r="I44" i="7"/>
  <c r="H44" i="6"/>
  <c r="C45" i="9"/>
  <c r="C48" i="9" s="1"/>
  <c r="C50" i="9" s="1"/>
  <c r="C15" i="9"/>
  <c r="C17" i="9" s="1"/>
  <c r="I44" i="9" l="1"/>
  <c r="C45" i="8"/>
  <c r="C48" i="8" s="1"/>
  <c r="C50" i="8" s="1"/>
  <c r="C15" i="8"/>
  <c r="C17" i="8" s="1"/>
  <c r="I11" i="6"/>
  <c r="C25" i="9"/>
  <c r="C69" i="9"/>
  <c r="C71" i="9" s="1"/>
  <c r="C53" i="9"/>
  <c r="C55" i="9"/>
  <c r="C59" i="9" s="1"/>
  <c r="C61" i="9" s="1"/>
  <c r="J44" i="9" l="1"/>
  <c r="K44" i="7"/>
  <c r="C35" i="9"/>
  <c r="C37" i="9" s="1"/>
  <c r="I44" i="6"/>
  <c r="E45" i="9"/>
  <c r="E15" i="9"/>
  <c r="E17" i="9" s="1"/>
  <c r="C53" i="8"/>
  <c r="C55" i="8"/>
  <c r="C59" i="8" s="1"/>
  <c r="C61" i="8" s="1"/>
  <c r="J44" i="8"/>
  <c r="J44" i="7"/>
  <c r="J11" i="6"/>
  <c r="C69" i="8"/>
  <c r="C71" i="8" s="1"/>
  <c r="C25" i="8"/>
  <c r="C73" i="9"/>
  <c r="C75" i="9" s="1"/>
  <c r="K11" i="6" l="1"/>
  <c r="K44" i="6"/>
  <c r="C35" i="8"/>
  <c r="C37" i="8" s="1"/>
  <c r="J44" i="6"/>
  <c r="L44" i="8"/>
  <c r="K44" i="9"/>
  <c r="E45" i="8"/>
  <c r="E15" i="8"/>
  <c r="E17" i="8" s="1"/>
  <c r="E48" i="9"/>
  <c r="E50" i="9" s="1"/>
  <c r="E69" i="9"/>
  <c r="E25" i="9"/>
  <c r="C73" i="8"/>
  <c r="C75" i="8" s="1"/>
  <c r="L44" i="9"/>
  <c r="L44" i="7"/>
  <c r="L11" i="6"/>
  <c r="K44" i="8"/>
  <c r="F45" i="9" l="1"/>
  <c r="F15" i="9"/>
  <c r="F17" i="9" s="1"/>
  <c r="E35" i="9"/>
  <c r="E37" i="9" s="1"/>
  <c r="E69" i="8"/>
  <c r="E25" i="8"/>
  <c r="E71" i="9"/>
  <c r="E89" i="9"/>
  <c r="E55" i="9"/>
  <c r="E53" i="9"/>
  <c r="E97" i="9"/>
  <c r="L44" i="6"/>
  <c r="E48" i="8"/>
  <c r="E50" i="8" s="1"/>
  <c r="E71" i="8" l="1"/>
  <c r="E89" i="8"/>
  <c r="N44" i="7"/>
  <c r="N11" i="6"/>
  <c r="P11" i="7"/>
  <c r="M44" i="7"/>
  <c r="E53" i="8"/>
  <c r="E55" i="8"/>
  <c r="E97" i="8"/>
  <c r="E98" i="9"/>
  <c r="N44" i="8"/>
  <c r="F69" i="9"/>
  <c r="F71" i="9" s="1"/>
  <c r="F25" i="9"/>
  <c r="E59" i="9"/>
  <c r="E61" i="9" s="1"/>
  <c r="E73" i="9" s="1"/>
  <c r="E76" i="9" s="1"/>
  <c r="F48" i="9"/>
  <c r="F50" i="9" s="1"/>
  <c r="F97" i="9" s="1"/>
  <c r="E91" i="9"/>
  <c r="N44" i="9"/>
  <c r="P11" i="9"/>
  <c r="F45" i="8"/>
  <c r="F15" i="8"/>
  <c r="F17" i="8" s="1"/>
  <c r="M44" i="9"/>
  <c r="E35" i="8"/>
  <c r="E37" i="8" s="1"/>
  <c r="M44" i="8" l="1"/>
  <c r="M11" i="6"/>
  <c r="P11" i="6" s="1"/>
  <c r="C45" i="7"/>
  <c r="C48" i="7" s="1"/>
  <c r="C50" i="7" s="1"/>
  <c r="C12" i="6"/>
  <c r="C15" i="7"/>
  <c r="C17" i="7" s="1"/>
  <c r="F75" i="9"/>
  <c r="E80" i="9"/>
  <c r="F98" i="9"/>
  <c r="F35" i="9"/>
  <c r="F37" i="9" s="1"/>
  <c r="N44" i="6"/>
  <c r="F69" i="8"/>
  <c r="F71" i="8" s="1"/>
  <c r="F25" i="8"/>
  <c r="P11" i="8"/>
  <c r="F48" i="8"/>
  <c r="F50" i="8" s="1"/>
  <c r="F97" i="8" s="1"/>
  <c r="F89" i="9"/>
  <c r="E98" i="8"/>
  <c r="E91" i="8"/>
  <c r="G45" i="9"/>
  <c r="G15" i="9"/>
  <c r="G17" i="9" s="1"/>
  <c r="F55" i="9"/>
  <c r="F53" i="9"/>
  <c r="E59" i="8"/>
  <c r="E61" i="8" s="1"/>
  <c r="E73" i="8" s="1"/>
  <c r="E76" i="8" s="1"/>
  <c r="F89" i="8" l="1"/>
  <c r="F98" i="8"/>
  <c r="C69" i="7"/>
  <c r="C71" i="7" s="1"/>
  <c r="C22" i="6"/>
  <c r="C25" i="7"/>
  <c r="F91" i="8"/>
  <c r="E84" i="9"/>
  <c r="E93" i="9" s="1"/>
  <c r="E80" i="8"/>
  <c r="F75" i="8"/>
  <c r="F35" i="8"/>
  <c r="F37" i="8" s="1"/>
  <c r="C45" i="6"/>
  <c r="C48" i="6" s="1"/>
  <c r="C50" i="6" s="1"/>
  <c r="C79" i="4"/>
  <c r="C15" i="6"/>
  <c r="C17" i="6" s="1"/>
  <c r="C69" i="4"/>
  <c r="C70" i="4" s="1"/>
  <c r="C74" i="4" s="1"/>
  <c r="C55" i="7"/>
  <c r="C59" i="7" s="1"/>
  <c r="C61" i="7" s="1"/>
  <c r="C73" i="7" s="1"/>
  <c r="C75" i="7" s="1"/>
  <c r="C53" i="7"/>
  <c r="G69" i="9"/>
  <c r="G71" i="9" s="1"/>
  <c r="G25" i="9"/>
  <c r="F59" i="9"/>
  <c r="F61" i="9" s="1"/>
  <c r="F73" i="9" s="1"/>
  <c r="F76" i="9" s="1"/>
  <c r="F91" i="9"/>
  <c r="M44" i="6"/>
  <c r="F53" i="8"/>
  <c r="F55" i="8"/>
  <c r="G45" i="8"/>
  <c r="G15" i="8"/>
  <c r="G17" i="8" s="1"/>
  <c r="G48" i="9"/>
  <c r="G50" i="9" s="1"/>
  <c r="F59" i="8" l="1"/>
  <c r="F61" i="8" s="1"/>
  <c r="F73" i="8" s="1"/>
  <c r="F76" i="8" s="1"/>
  <c r="F80" i="9"/>
  <c r="G75" i="9"/>
  <c r="C53" i="6"/>
  <c r="C55" i="6"/>
  <c r="C59" i="6" s="1"/>
  <c r="C61" i="6" s="1"/>
  <c r="C25" i="4"/>
  <c r="C27" i="4" s="1"/>
  <c r="C20" i="4"/>
  <c r="C22" i="4" s="1"/>
  <c r="G69" i="8"/>
  <c r="G25" i="8"/>
  <c r="H45" i="9"/>
  <c r="H15" i="9"/>
  <c r="H17" i="9" s="1"/>
  <c r="G55" i="9"/>
  <c r="G53" i="9"/>
  <c r="G97" i="9"/>
  <c r="G35" i="9"/>
  <c r="G37" i="9" s="1"/>
  <c r="E84" i="8"/>
  <c r="E93" i="8" s="1"/>
  <c r="C35" i="7"/>
  <c r="C37" i="7" s="1"/>
  <c r="C69" i="6"/>
  <c r="C71" i="6" s="1"/>
  <c r="C25" i="6"/>
  <c r="C75" i="4"/>
  <c r="C78" i="4"/>
  <c r="C80" i="4" s="1"/>
  <c r="G48" i="8"/>
  <c r="G50" i="8" s="1"/>
  <c r="G89" i="9"/>
  <c r="C35" i="6" l="1"/>
  <c r="C37" i="6" s="1"/>
  <c r="G35" i="8"/>
  <c r="G37" i="8" s="1"/>
  <c r="E45" i="7"/>
  <c r="E12" i="6"/>
  <c r="E15" i="7"/>
  <c r="E17" i="7" s="1"/>
  <c r="B7" i="3"/>
  <c r="B6" i="3"/>
  <c r="G71" i="8"/>
  <c r="G89" i="8"/>
  <c r="H45" i="8"/>
  <c r="H15" i="8"/>
  <c r="H17" i="8" s="1"/>
  <c r="G91" i="9"/>
  <c r="G53" i="8"/>
  <c r="G55" i="8"/>
  <c r="G97" i="8"/>
  <c r="G98" i="9"/>
  <c r="C73" i="6"/>
  <c r="C75" i="6" s="1"/>
  <c r="H69" i="9"/>
  <c r="H71" i="9" s="1"/>
  <c r="H25" i="9"/>
  <c r="G59" i="9"/>
  <c r="G61" i="9" s="1"/>
  <c r="G73" i="9" s="1"/>
  <c r="G76" i="9" s="1"/>
  <c r="F84" i="9"/>
  <c r="F93" i="9" s="1"/>
  <c r="H48" i="9"/>
  <c r="H50" i="9" s="1"/>
  <c r="H97" i="9" s="1"/>
  <c r="G75" i="8"/>
  <c r="F80" i="8"/>
  <c r="E69" i="7" l="1"/>
  <c r="E22" i="6"/>
  <c r="E25" i="7"/>
  <c r="G98" i="8"/>
  <c r="H48" i="8"/>
  <c r="H50" i="8" s="1"/>
  <c r="H97" i="8" s="1"/>
  <c r="E45" i="6"/>
  <c r="E79" i="4"/>
  <c r="E15" i="6"/>
  <c r="E17" i="6" s="1"/>
  <c r="E69" i="4"/>
  <c r="E70" i="4" s="1"/>
  <c r="E74" i="4" s="1"/>
  <c r="H75" i="9"/>
  <c r="G80" i="9"/>
  <c r="G59" i="8"/>
  <c r="G61" i="8" s="1"/>
  <c r="G73" i="8" s="1"/>
  <c r="G76" i="8" s="1"/>
  <c r="G91" i="8"/>
  <c r="E48" i="7"/>
  <c r="E50" i="7" s="1"/>
  <c r="F84" i="8"/>
  <c r="F93" i="8" s="1"/>
  <c r="H98" i="9"/>
  <c r="H69" i="8"/>
  <c r="H71" i="8" s="1"/>
  <c r="H25" i="8"/>
  <c r="H35" i="9"/>
  <c r="H37" i="9" s="1"/>
  <c r="H55" i="9"/>
  <c r="H53" i="9"/>
  <c r="I45" i="9"/>
  <c r="I15" i="9"/>
  <c r="I17" i="9" s="1"/>
  <c r="H89" i="9"/>
  <c r="H89" i="8" l="1"/>
  <c r="H98" i="8"/>
  <c r="H75" i="8"/>
  <c r="G80" i="8"/>
  <c r="E35" i="7"/>
  <c r="E37" i="7" s="1"/>
  <c r="G84" i="9"/>
  <c r="G93" i="9" s="1"/>
  <c r="E69" i="6"/>
  <c r="E71" i="6" s="1"/>
  <c r="E25" i="6"/>
  <c r="C7" i="3"/>
  <c r="C6" i="3"/>
  <c r="I69" i="9"/>
  <c r="I71" i="9" s="1"/>
  <c r="I25" i="9"/>
  <c r="H91" i="9"/>
  <c r="H91" i="8"/>
  <c r="E78" i="4"/>
  <c r="E80" i="4" s="1"/>
  <c r="B26" i="3"/>
  <c r="E71" i="7"/>
  <c r="E89" i="7"/>
  <c r="H35" i="8"/>
  <c r="H37" i="8" s="1"/>
  <c r="E55" i="7"/>
  <c r="E53" i="7"/>
  <c r="E97" i="7"/>
  <c r="I48" i="9"/>
  <c r="I50" i="9" s="1"/>
  <c r="I45" i="8"/>
  <c r="I15" i="8"/>
  <c r="I17" i="8" s="1"/>
  <c r="B37" i="3"/>
  <c r="E48" i="6"/>
  <c r="H59" i="9"/>
  <c r="H61" i="9" s="1"/>
  <c r="H73" i="9" s="1"/>
  <c r="H76" i="9" s="1"/>
  <c r="H53" i="8"/>
  <c r="H55" i="8"/>
  <c r="I89" i="9" l="1"/>
  <c r="E35" i="6"/>
  <c r="E37" i="6" s="1"/>
  <c r="E91" i="7"/>
  <c r="E89" i="6"/>
  <c r="I91" i="9"/>
  <c r="I48" i="8"/>
  <c r="I50" i="8" s="1"/>
  <c r="G84" i="8"/>
  <c r="G93" i="8" s="1"/>
  <c r="J45" i="9"/>
  <c r="J15" i="9"/>
  <c r="J17" i="9" s="1"/>
  <c r="H59" i="8"/>
  <c r="H61" i="8" s="1"/>
  <c r="H73" i="8" s="1"/>
  <c r="H76" i="8" s="1"/>
  <c r="I53" i="9"/>
  <c r="I55" i="9"/>
  <c r="I97" i="9"/>
  <c r="B31" i="3"/>
  <c r="I69" i="8"/>
  <c r="I25" i="8"/>
  <c r="I35" i="9"/>
  <c r="I37" i="9" s="1"/>
  <c r="F45" i="7"/>
  <c r="F12" i="6"/>
  <c r="F15" i="7"/>
  <c r="F17" i="7" s="1"/>
  <c r="I75" i="9"/>
  <c r="H80" i="9"/>
  <c r="E97" i="6"/>
  <c r="E98" i="6" s="1"/>
  <c r="E98" i="7"/>
  <c r="B36" i="3"/>
  <c r="B40" i="3" s="1"/>
  <c r="E50" i="6"/>
  <c r="E59" i="7"/>
  <c r="E61" i="7" s="1"/>
  <c r="E73" i="7" s="1"/>
  <c r="E76" i="7" s="1"/>
  <c r="J69" i="9" l="1"/>
  <c r="J25" i="9"/>
  <c r="F45" i="6"/>
  <c r="F79" i="4"/>
  <c r="F15" i="6"/>
  <c r="F17" i="6" s="1"/>
  <c r="F69" i="4"/>
  <c r="F70" i="4" s="1"/>
  <c r="F74" i="4" s="1"/>
  <c r="I53" i="8"/>
  <c r="I55" i="8"/>
  <c r="I97" i="8"/>
  <c r="F69" i="7"/>
  <c r="F22" i="6"/>
  <c r="F25" i="7"/>
  <c r="F48" i="7"/>
  <c r="F50" i="7" s="1"/>
  <c r="I98" i="9"/>
  <c r="E91" i="6"/>
  <c r="E51" i="4"/>
  <c r="F75" i="7"/>
  <c r="E80" i="7"/>
  <c r="I59" i="9"/>
  <c r="I61" i="9" s="1"/>
  <c r="I73" i="9" s="1"/>
  <c r="I76" i="9" s="1"/>
  <c r="E53" i="6"/>
  <c r="E55" i="6"/>
  <c r="E59" i="6" s="1"/>
  <c r="E61" i="6" s="1"/>
  <c r="E73" i="6" s="1"/>
  <c r="E76" i="6" s="1"/>
  <c r="E25" i="4"/>
  <c r="E20" i="4"/>
  <c r="I75" i="8"/>
  <c r="H80" i="8"/>
  <c r="J45" i="8"/>
  <c r="J15" i="8"/>
  <c r="J17" i="8" s="1"/>
  <c r="J48" i="9"/>
  <c r="J50" i="9" s="1"/>
  <c r="J97" i="9" s="1"/>
  <c r="H84" i="9"/>
  <c r="H93" i="9" s="1"/>
  <c r="I35" i="8"/>
  <c r="I37" i="8" s="1"/>
  <c r="D7" i="3"/>
  <c r="D6" i="3"/>
  <c r="I71" i="8"/>
  <c r="I89" i="8"/>
  <c r="J48" i="8" l="1"/>
  <c r="J50" i="8" s="1"/>
  <c r="J75" i="9"/>
  <c r="I80" i="9"/>
  <c r="J98" i="9"/>
  <c r="C26" i="3"/>
  <c r="F78" i="4"/>
  <c r="F80" i="4" s="1"/>
  <c r="F55" i="7"/>
  <c r="F53" i="7"/>
  <c r="F97" i="7"/>
  <c r="J69" i="8"/>
  <c r="J71" i="8" s="1"/>
  <c r="J25" i="8"/>
  <c r="H84" i="8"/>
  <c r="H93" i="8" s="1"/>
  <c r="E84" i="7"/>
  <c r="E93" i="7" s="1"/>
  <c r="C37" i="3"/>
  <c r="F48" i="6"/>
  <c r="F35" i="7"/>
  <c r="F37" i="7" s="1"/>
  <c r="J35" i="9"/>
  <c r="J37" i="9" s="1"/>
  <c r="K45" i="9"/>
  <c r="K15" i="9"/>
  <c r="K17" i="9" s="1"/>
  <c r="E22" i="4"/>
  <c r="F69" i="6"/>
  <c r="F71" i="6" s="1"/>
  <c r="F25" i="6"/>
  <c r="J71" i="9"/>
  <c r="J89" i="9"/>
  <c r="I91" i="8"/>
  <c r="E27" i="4"/>
  <c r="E80" i="6"/>
  <c r="F75" i="6"/>
  <c r="F71" i="7"/>
  <c r="F89" i="7"/>
  <c r="J97" i="8"/>
  <c r="I98" i="8"/>
  <c r="J53" i="9"/>
  <c r="J55" i="9"/>
  <c r="I59" i="8"/>
  <c r="I61" i="8" s="1"/>
  <c r="I73" i="8" s="1"/>
  <c r="I76" i="8" s="1"/>
  <c r="J89" i="8" l="1"/>
  <c r="G45" i="7"/>
  <c r="G12" i="6"/>
  <c r="G15" i="7"/>
  <c r="G17" i="7" s="1"/>
  <c r="J75" i="8"/>
  <c r="I80" i="8"/>
  <c r="F35" i="6"/>
  <c r="F37" i="6" s="1"/>
  <c r="J59" i="9"/>
  <c r="J61" i="9" s="1"/>
  <c r="J73" i="9" s="1"/>
  <c r="J76" i="9" s="1"/>
  <c r="C36" i="3"/>
  <c r="C40" i="3" s="1"/>
  <c r="F50" i="6"/>
  <c r="J35" i="8"/>
  <c r="J37" i="8" s="1"/>
  <c r="C31" i="3"/>
  <c r="J98" i="8"/>
  <c r="K45" i="8"/>
  <c r="K15" i="8"/>
  <c r="K17" i="8" s="1"/>
  <c r="F89" i="6"/>
  <c r="F91" i="7"/>
  <c r="J91" i="8"/>
  <c r="E7" i="3"/>
  <c r="E6" i="3"/>
  <c r="I84" i="9"/>
  <c r="I93" i="9" s="1"/>
  <c r="K48" i="9"/>
  <c r="K50" i="9" s="1"/>
  <c r="F97" i="6"/>
  <c r="F98" i="6" s="1"/>
  <c r="F98" i="7"/>
  <c r="J53" i="8"/>
  <c r="J55" i="8"/>
  <c r="K69" i="9"/>
  <c r="K71" i="9" s="1"/>
  <c r="K25" i="9"/>
  <c r="E84" i="6"/>
  <c r="E93" i="6" s="1"/>
  <c r="E52" i="4"/>
  <c r="E53" i="4" s="1"/>
  <c r="J91" i="9"/>
  <c r="F59" i="7"/>
  <c r="F61" i="7" s="1"/>
  <c r="F73" i="7" s="1"/>
  <c r="F76" i="7" s="1"/>
  <c r="I84" i="8" l="1"/>
  <c r="I93" i="8" s="1"/>
  <c r="G69" i="7"/>
  <c r="G22" i="6"/>
  <c r="G25" i="7"/>
  <c r="J59" i="8"/>
  <c r="J61" i="8" s="1"/>
  <c r="J73" i="8" s="1"/>
  <c r="J76" i="8" s="1"/>
  <c r="L45" i="9"/>
  <c r="L15" i="9"/>
  <c r="L17" i="9" s="1"/>
  <c r="F91" i="6"/>
  <c r="F51" i="4"/>
  <c r="G79" i="4"/>
  <c r="G45" i="6"/>
  <c r="G15" i="6"/>
  <c r="G17" i="6" s="1"/>
  <c r="G69" i="4"/>
  <c r="G70" i="4" s="1"/>
  <c r="G74" i="4" s="1"/>
  <c r="E56" i="4"/>
  <c r="E73" i="4"/>
  <c r="E75" i="4" s="1"/>
  <c r="E64" i="4"/>
  <c r="F55" i="6"/>
  <c r="F59" i="6" s="1"/>
  <c r="F61" i="6" s="1"/>
  <c r="F73" i="6" s="1"/>
  <c r="F76" i="6" s="1"/>
  <c r="F53" i="6"/>
  <c r="F25" i="4"/>
  <c r="F20" i="4"/>
  <c r="G48" i="7"/>
  <c r="G50" i="7" s="1"/>
  <c r="G75" i="7"/>
  <c r="F80" i="7"/>
  <c r="K69" i="8"/>
  <c r="K25" i="8"/>
  <c r="K53" i="9"/>
  <c r="K55" i="9"/>
  <c r="K97" i="9"/>
  <c r="K75" i="9"/>
  <c r="J80" i="9"/>
  <c r="K48" i="8"/>
  <c r="K50" i="8" s="1"/>
  <c r="K89" i="9"/>
  <c r="K35" i="9"/>
  <c r="K37" i="9" s="1"/>
  <c r="F6" i="3" l="1"/>
  <c r="F7" i="3"/>
  <c r="K55" i="8"/>
  <c r="K53" i="8"/>
  <c r="K97" i="8"/>
  <c r="K71" i="8"/>
  <c r="K89" i="8"/>
  <c r="G35" i="7"/>
  <c r="G37" i="7" s="1"/>
  <c r="G69" i="6"/>
  <c r="G71" i="6" s="1"/>
  <c r="G25" i="6"/>
  <c r="L69" i="9"/>
  <c r="L71" i="9" s="1"/>
  <c r="L25" i="9"/>
  <c r="E58" i="4"/>
  <c r="B25" i="3"/>
  <c r="J84" i="9"/>
  <c r="J93" i="9" s="1"/>
  <c r="F84" i="7"/>
  <c r="F93" i="7" s="1"/>
  <c r="G78" i="4"/>
  <c r="G80" i="4" s="1"/>
  <c r="D26" i="3"/>
  <c r="G71" i="7"/>
  <c r="G89" i="7"/>
  <c r="G55" i="7"/>
  <c r="G53" i="7"/>
  <c r="G97" i="7"/>
  <c r="L45" i="8"/>
  <c r="L15" i="8"/>
  <c r="L17" i="8" s="1"/>
  <c r="D37" i="3"/>
  <c r="G48" i="6"/>
  <c r="F22" i="4"/>
  <c r="K35" i="8"/>
  <c r="K37" i="8" s="1"/>
  <c r="K98" i="9"/>
  <c r="F27" i="4"/>
  <c r="L48" i="9"/>
  <c r="L50" i="9" s="1"/>
  <c r="L97" i="9" s="1"/>
  <c r="B12" i="3"/>
  <c r="E65" i="4"/>
  <c r="K59" i="9"/>
  <c r="K61" i="9" s="1"/>
  <c r="K73" i="9" s="1"/>
  <c r="K76" i="9" s="1"/>
  <c r="J80" i="8"/>
  <c r="K75" i="8"/>
  <c r="K91" i="9"/>
  <c r="F80" i="6"/>
  <c r="G75" i="6"/>
  <c r="J84" i="8" l="1"/>
  <c r="J93" i="8" s="1"/>
  <c r="D36" i="3"/>
  <c r="D40" i="3" s="1"/>
  <c r="G50" i="6"/>
  <c r="D31" i="3"/>
  <c r="K80" i="9"/>
  <c r="L75" i="9"/>
  <c r="B32" i="3"/>
  <c r="B33" i="3" s="1"/>
  <c r="B27" i="3"/>
  <c r="K91" i="8"/>
  <c r="L98" i="9"/>
  <c r="M45" i="9"/>
  <c r="M15" i="9"/>
  <c r="M17" i="9" s="1"/>
  <c r="F84" i="6"/>
  <c r="F93" i="6" s="1"/>
  <c r="F52" i="4"/>
  <c r="F53" i="4" s="1"/>
  <c r="B14" i="3"/>
  <c r="B13" i="3"/>
  <c r="L48" i="8"/>
  <c r="L50" i="8" s="1"/>
  <c r="L97" i="8" s="1"/>
  <c r="L35" i="9"/>
  <c r="L37" i="9" s="1"/>
  <c r="K98" i="8"/>
  <c r="L53" i="9"/>
  <c r="L55" i="9"/>
  <c r="G97" i="6"/>
  <c r="G98" i="6" s="1"/>
  <c r="G98" i="7"/>
  <c r="K59" i="8"/>
  <c r="K61" i="8" s="1"/>
  <c r="K73" i="8" s="1"/>
  <c r="K76" i="8" s="1"/>
  <c r="H45" i="7"/>
  <c r="H12" i="6"/>
  <c r="H15" i="7"/>
  <c r="H17" i="7" s="1"/>
  <c r="L89" i="9"/>
  <c r="G59" i="7"/>
  <c r="G61" i="7" s="1"/>
  <c r="G73" i="7" s="1"/>
  <c r="G76" i="7" s="1"/>
  <c r="G35" i="6"/>
  <c r="G37" i="6" s="1"/>
  <c r="L69" i="8"/>
  <c r="L71" i="8" s="1"/>
  <c r="L25" i="8"/>
  <c r="G91" i="7"/>
  <c r="G89" i="6"/>
  <c r="L89" i="8" l="1"/>
  <c r="L98" i="8"/>
  <c r="G51" i="4"/>
  <c r="G91" i="6"/>
  <c r="H69" i="7"/>
  <c r="H22" i="6"/>
  <c r="H25" i="7"/>
  <c r="F56" i="4"/>
  <c r="F73" i="4"/>
  <c r="F75" i="4" s="1"/>
  <c r="F64" i="4"/>
  <c r="K84" i="9"/>
  <c r="K93" i="9" s="1"/>
  <c r="L91" i="9"/>
  <c r="L91" i="8"/>
  <c r="G7" i="3"/>
  <c r="G6" i="3"/>
  <c r="L35" i="8"/>
  <c r="L37" i="8" s="1"/>
  <c r="G55" i="6"/>
  <c r="G59" i="6" s="1"/>
  <c r="G61" i="6" s="1"/>
  <c r="G73" i="6" s="1"/>
  <c r="G76" i="6" s="1"/>
  <c r="G53" i="6"/>
  <c r="G25" i="4"/>
  <c r="G20" i="4"/>
  <c r="M45" i="8"/>
  <c r="M15" i="8"/>
  <c r="M17" i="8" s="1"/>
  <c r="M69" i="9"/>
  <c r="M71" i="9" s="1"/>
  <c r="M25" i="9"/>
  <c r="H45" i="6"/>
  <c r="H79" i="4"/>
  <c r="H15" i="6"/>
  <c r="H17" i="6" s="1"/>
  <c r="H69" i="4"/>
  <c r="H70" i="4" s="1"/>
  <c r="H74" i="4" s="1"/>
  <c r="H48" i="7"/>
  <c r="H50" i="7" s="1"/>
  <c r="L53" i="8"/>
  <c r="L55" i="8"/>
  <c r="M48" i="9"/>
  <c r="M50" i="9" s="1"/>
  <c r="K80" i="8"/>
  <c r="L75" i="8"/>
  <c r="H75" i="7"/>
  <c r="G80" i="7"/>
  <c r="L59" i="9"/>
  <c r="L61" i="9" s="1"/>
  <c r="L73" i="9" s="1"/>
  <c r="L76" i="9" s="1"/>
  <c r="M89" i="9" l="1"/>
  <c r="G84" i="7"/>
  <c r="G93" i="7" s="1"/>
  <c r="M91" i="9"/>
  <c r="H69" i="6"/>
  <c r="H71" i="6" s="1"/>
  <c r="H25" i="6"/>
  <c r="N45" i="9"/>
  <c r="N15" i="9"/>
  <c r="N17" i="9" s="1"/>
  <c r="P12" i="9"/>
  <c r="P15" i="9" s="1"/>
  <c r="P17" i="9" s="1"/>
  <c r="M48" i="8"/>
  <c r="M50" i="8" s="1"/>
  <c r="H71" i="7"/>
  <c r="H89" i="7"/>
  <c r="K84" i="8"/>
  <c r="K93" i="8" s="1"/>
  <c r="G22" i="4"/>
  <c r="G27" i="4"/>
  <c r="H78" i="4"/>
  <c r="H80" i="4" s="1"/>
  <c r="E26" i="3"/>
  <c r="H75" i="6"/>
  <c r="G80" i="6"/>
  <c r="M55" i="9"/>
  <c r="M53" i="9"/>
  <c r="M97" i="9"/>
  <c r="C12" i="3"/>
  <c r="F65" i="4"/>
  <c r="L80" i="9"/>
  <c r="M75" i="9"/>
  <c r="E37" i="3"/>
  <c r="H48" i="6"/>
  <c r="L59" i="8"/>
  <c r="L61" i="8" s="1"/>
  <c r="L73" i="8" s="1"/>
  <c r="L76" i="8" s="1"/>
  <c r="M35" i="9"/>
  <c r="M37" i="9" s="1"/>
  <c r="F58" i="4"/>
  <c r="C25" i="3"/>
  <c r="M69" i="8"/>
  <c r="M25" i="8"/>
  <c r="H53" i="7"/>
  <c r="H55" i="7"/>
  <c r="H97" i="7"/>
  <c r="H35" i="7"/>
  <c r="H37" i="7" s="1"/>
  <c r="H89" i="6" l="1"/>
  <c r="H91" i="7"/>
  <c r="H97" i="6"/>
  <c r="H98" i="6" s="1"/>
  <c r="H98" i="7"/>
  <c r="M59" i="9"/>
  <c r="M61" i="9" s="1"/>
  <c r="M73" i="9" s="1"/>
  <c r="M76" i="9" s="1"/>
  <c r="I45" i="7"/>
  <c r="I12" i="6"/>
  <c r="I15" i="7"/>
  <c r="I17" i="7" s="1"/>
  <c r="H59" i="7"/>
  <c r="H61" i="7" s="1"/>
  <c r="H73" i="7" s="1"/>
  <c r="H76" i="7" s="1"/>
  <c r="G52" i="4"/>
  <c r="G53" i="4" s="1"/>
  <c r="G84" i="6"/>
  <c r="G93" i="6" s="1"/>
  <c r="M53" i="8"/>
  <c r="M55" i="8"/>
  <c r="M97" i="8"/>
  <c r="M71" i="8"/>
  <c r="M89" i="8"/>
  <c r="M35" i="8"/>
  <c r="M37" i="8" s="1"/>
  <c r="N69" i="9"/>
  <c r="N25" i="9"/>
  <c r="P22" i="9"/>
  <c r="P25" i="9" s="1"/>
  <c r="P35" i="9" s="1"/>
  <c r="P37" i="9" s="1"/>
  <c r="C32" i="3"/>
  <c r="C33" i="3" s="1"/>
  <c r="C27" i="3"/>
  <c r="E31" i="3"/>
  <c r="E36" i="3"/>
  <c r="E40" i="3" s="1"/>
  <c r="H50" i="6"/>
  <c r="L84" i="9"/>
  <c r="L93" i="9" s="1"/>
  <c r="N48" i="9"/>
  <c r="N50" i="9" s="1"/>
  <c r="N97" i="9" s="1"/>
  <c r="N98" i="9" s="1"/>
  <c r="N45" i="8"/>
  <c r="N15" i="8"/>
  <c r="N17" i="8" s="1"/>
  <c r="P12" i="8"/>
  <c r="P15" i="8" s="1"/>
  <c r="P17" i="8" s="1"/>
  <c r="C14" i="3"/>
  <c r="C13" i="3"/>
  <c r="H35" i="6"/>
  <c r="H37" i="6" s="1"/>
  <c r="H7" i="3"/>
  <c r="H6" i="3"/>
  <c r="L80" i="8"/>
  <c r="M75" i="8"/>
  <c r="M98" i="9"/>
  <c r="N53" i="9" l="1"/>
  <c r="N55" i="9"/>
  <c r="M98" i="8"/>
  <c r="I75" i="7"/>
  <c r="H80" i="7"/>
  <c r="M59" i="8"/>
  <c r="M61" i="8" s="1"/>
  <c r="M73" i="8" s="1"/>
  <c r="M76" i="8" s="1"/>
  <c r="I69" i="7"/>
  <c r="I22" i="6"/>
  <c r="I25" i="7"/>
  <c r="N35" i="9"/>
  <c r="N37" i="9" s="1"/>
  <c r="I45" i="6"/>
  <c r="I79" i="4"/>
  <c r="I15" i="6"/>
  <c r="I17" i="6" s="1"/>
  <c r="I69" i="4"/>
  <c r="I70" i="4" s="1"/>
  <c r="I74" i="4" s="1"/>
  <c r="H51" i="4"/>
  <c r="H91" i="6"/>
  <c r="N71" i="9"/>
  <c r="N89" i="9"/>
  <c r="I48" i="7"/>
  <c r="I50" i="7" s="1"/>
  <c r="N48" i="8"/>
  <c r="N50" i="8" s="1"/>
  <c r="H53" i="6"/>
  <c r="H55" i="6"/>
  <c r="H59" i="6" s="1"/>
  <c r="H61" i="6" s="1"/>
  <c r="H73" i="6" s="1"/>
  <c r="H76" i="6" s="1"/>
  <c r="H25" i="4"/>
  <c r="H20" i="4"/>
  <c r="L84" i="8"/>
  <c r="L93" i="8" s="1"/>
  <c r="M80" i="9"/>
  <c r="N75" i="9"/>
  <c r="N69" i="8"/>
  <c r="N71" i="8" s="1"/>
  <c r="N25" i="8"/>
  <c r="P22" i="8"/>
  <c r="P25" i="8" s="1"/>
  <c r="P35" i="8" s="1"/>
  <c r="P37" i="8" s="1"/>
  <c r="G64" i="4"/>
  <c r="G73" i="4"/>
  <c r="G75" i="4" s="1"/>
  <c r="G56" i="4"/>
  <c r="M91" i="8"/>
  <c r="N89" i="8" l="1"/>
  <c r="H27" i="4"/>
  <c r="H84" i="7"/>
  <c r="H93" i="7" s="1"/>
  <c r="I75" i="6"/>
  <c r="H80" i="6"/>
  <c r="M84" i="9"/>
  <c r="M93" i="9" s="1"/>
  <c r="N55" i="8"/>
  <c r="N53" i="8"/>
  <c r="N97" i="8"/>
  <c r="N98" i="8" s="1"/>
  <c r="N59" i="9"/>
  <c r="N61" i="9" s="1"/>
  <c r="N73" i="9" s="1"/>
  <c r="N76" i="9" s="1"/>
  <c r="N80" i="9" s="1"/>
  <c r="N84" i="9" s="1"/>
  <c r="I53" i="7"/>
  <c r="I55" i="7"/>
  <c r="I97" i="7"/>
  <c r="I35" i="7"/>
  <c r="I37" i="7" s="1"/>
  <c r="N91" i="8"/>
  <c r="I78" i="4"/>
  <c r="I80" i="4" s="1"/>
  <c r="F26" i="3"/>
  <c r="I69" i="6"/>
  <c r="I71" i="6" s="1"/>
  <c r="I25" i="6"/>
  <c r="G58" i="4"/>
  <c r="D25" i="3"/>
  <c r="N91" i="9"/>
  <c r="I71" i="7"/>
  <c r="I89" i="7"/>
  <c r="D12" i="3"/>
  <c r="G65" i="4"/>
  <c r="F37" i="3"/>
  <c r="I48" i="6"/>
  <c r="M80" i="8"/>
  <c r="N75" i="8"/>
  <c r="I6" i="3"/>
  <c r="I7" i="3"/>
  <c r="N35" i="8"/>
  <c r="N37" i="8" s="1"/>
  <c r="H22" i="4"/>
  <c r="N93" i="9" l="1"/>
  <c r="I35" i="6"/>
  <c r="I37" i="6" s="1"/>
  <c r="I59" i="7"/>
  <c r="I61" i="7" s="1"/>
  <c r="I73" i="7" s="1"/>
  <c r="I76" i="7" s="1"/>
  <c r="H52" i="4"/>
  <c r="H53" i="4" s="1"/>
  <c r="H84" i="6"/>
  <c r="H93" i="6" s="1"/>
  <c r="I97" i="6"/>
  <c r="I98" i="6" s="1"/>
  <c r="I98" i="7"/>
  <c r="I89" i="6"/>
  <c r="I91" i="7"/>
  <c r="F31" i="3"/>
  <c r="M84" i="8"/>
  <c r="M93" i="8" s="1"/>
  <c r="F36" i="3"/>
  <c r="F40" i="3" s="1"/>
  <c r="I50" i="6"/>
  <c r="N59" i="8"/>
  <c r="N61" i="8" s="1"/>
  <c r="N73" i="8" s="1"/>
  <c r="N76" i="8" s="1"/>
  <c r="N80" i="8" s="1"/>
  <c r="D32" i="3"/>
  <c r="D33" i="3" s="1"/>
  <c r="D27" i="3"/>
  <c r="J12" i="6"/>
  <c r="J45" i="7"/>
  <c r="J15" i="7"/>
  <c r="J17" i="7" s="1"/>
  <c r="D14" i="3"/>
  <c r="D13" i="3"/>
  <c r="H64" i="4" l="1"/>
  <c r="H73" i="4"/>
  <c r="H75" i="4" s="1"/>
  <c r="H56" i="4"/>
  <c r="J6" i="3"/>
  <c r="J7" i="3"/>
  <c r="I51" i="4"/>
  <c r="I91" i="6"/>
  <c r="I80" i="7"/>
  <c r="J75" i="7"/>
  <c r="N84" i="8"/>
  <c r="N93" i="8" s="1"/>
  <c r="J48" i="7"/>
  <c r="J50" i="7" s="1"/>
  <c r="I53" i="6"/>
  <c r="I25" i="4"/>
  <c r="I20" i="4"/>
  <c r="I55" i="6"/>
  <c r="I59" i="6" s="1"/>
  <c r="I61" i="6" s="1"/>
  <c r="I73" i="6" s="1"/>
  <c r="I76" i="6" s="1"/>
  <c r="J69" i="7"/>
  <c r="J22" i="6"/>
  <c r="J25" i="7"/>
  <c r="J45" i="6"/>
  <c r="J79" i="4"/>
  <c r="J69" i="4"/>
  <c r="J70" i="4" s="1"/>
  <c r="J74" i="4" s="1"/>
  <c r="J15" i="6"/>
  <c r="J17" i="6" s="1"/>
  <c r="J75" i="6" l="1"/>
  <c r="I80" i="6"/>
  <c r="I22" i="4"/>
  <c r="I27" i="4"/>
  <c r="I84" i="7"/>
  <c r="I93" i="7" s="1"/>
  <c r="H58" i="4"/>
  <c r="E25" i="3"/>
  <c r="J78" i="4"/>
  <c r="J80" i="4" s="1"/>
  <c r="G26" i="3"/>
  <c r="J53" i="7"/>
  <c r="J55" i="7"/>
  <c r="J97" i="7"/>
  <c r="E12" i="3"/>
  <c r="H65" i="4"/>
  <c r="G37" i="3"/>
  <c r="J48" i="6"/>
  <c r="J35" i="7"/>
  <c r="J37" i="7" s="1"/>
  <c r="J69" i="6"/>
  <c r="J71" i="6" s="1"/>
  <c r="J25" i="6"/>
  <c r="J71" i="7"/>
  <c r="J89" i="7"/>
  <c r="J59" i="7" l="1"/>
  <c r="J61" i="7" s="1"/>
  <c r="J73" i="7" s="1"/>
  <c r="J76" i="7" s="1"/>
  <c r="G31" i="3"/>
  <c r="K45" i="7"/>
  <c r="K12" i="6"/>
  <c r="K15" i="7"/>
  <c r="K17" i="7" s="1"/>
  <c r="G36" i="3"/>
  <c r="G40" i="3" s="1"/>
  <c r="J50" i="6"/>
  <c r="E32" i="3"/>
  <c r="E33" i="3" s="1"/>
  <c r="E27" i="3"/>
  <c r="K6" i="3"/>
  <c r="K7" i="3"/>
  <c r="J91" i="7"/>
  <c r="J89" i="6"/>
  <c r="E14" i="3"/>
  <c r="E13" i="3"/>
  <c r="I84" i="6"/>
  <c r="I93" i="6" s="1"/>
  <c r="I52" i="4"/>
  <c r="I53" i="4" s="1"/>
  <c r="J35" i="6"/>
  <c r="J37" i="6" s="1"/>
  <c r="J97" i="6"/>
  <c r="J98" i="6" s="1"/>
  <c r="J98" i="7"/>
  <c r="J91" i="6" l="1"/>
  <c r="J51" i="4"/>
  <c r="I64" i="4"/>
  <c r="I73" i="4"/>
  <c r="I75" i="4" s="1"/>
  <c r="I56" i="4"/>
  <c r="K48" i="7"/>
  <c r="K50" i="7" s="1"/>
  <c r="K79" i="4"/>
  <c r="K45" i="6"/>
  <c r="K15" i="6"/>
  <c r="K17" i="6" s="1"/>
  <c r="K69" i="4"/>
  <c r="K70" i="4" s="1"/>
  <c r="K74" i="4" s="1"/>
  <c r="K69" i="7"/>
  <c r="K22" i="6"/>
  <c r="K25" i="7"/>
  <c r="J53" i="6"/>
  <c r="J55" i="6"/>
  <c r="J59" i="6" s="1"/>
  <c r="J61" i="6" s="1"/>
  <c r="J73" i="6" s="1"/>
  <c r="J76" i="6" s="1"/>
  <c r="J25" i="4"/>
  <c r="J27" i="4" s="1"/>
  <c r="J20" i="4"/>
  <c r="J22" i="4" s="1"/>
  <c r="J80" i="7"/>
  <c r="K75" i="7"/>
  <c r="I58" i="4" l="1"/>
  <c r="F25" i="3"/>
  <c r="F12" i="3"/>
  <c r="I65" i="4"/>
  <c r="J84" i="7"/>
  <c r="J93" i="7" s="1"/>
  <c r="J80" i="6"/>
  <c r="K75" i="6"/>
  <c r="K71" i="7"/>
  <c r="K89" i="7"/>
  <c r="K78" i="4"/>
  <c r="K80" i="4" s="1"/>
  <c r="H26" i="3"/>
  <c r="K53" i="7"/>
  <c r="K55" i="7"/>
  <c r="K97" i="7"/>
  <c r="K35" i="7"/>
  <c r="K37" i="7" s="1"/>
  <c r="H37" i="3"/>
  <c r="K48" i="6"/>
  <c r="K69" i="6"/>
  <c r="K71" i="6" s="1"/>
  <c r="K25" i="6"/>
  <c r="L45" i="7" l="1"/>
  <c r="L12" i="6"/>
  <c r="L15" i="7"/>
  <c r="L17" i="7" s="1"/>
  <c r="K35" i="6"/>
  <c r="K37" i="6" s="1"/>
  <c r="H31" i="3"/>
  <c r="K59" i="7"/>
  <c r="K61" i="7" s="1"/>
  <c r="K73" i="7" s="1"/>
  <c r="K76" i="7" s="1"/>
  <c r="H36" i="3"/>
  <c r="H40" i="3" s="1"/>
  <c r="K50" i="6"/>
  <c r="F14" i="3"/>
  <c r="F13" i="3"/>
  <c r="J84" i="6"/>
  <c r="J93" i="6" s="1"/>
  <c r="J52" i="4"/>
  <c r="J53" i="4" s="1"/>
  <c r="K91" i="7"/>
  <c r="K89" i="6"/>
  <c r="F32" i="3"/>
  <c r="F33" i="3" s="1"/>
  <c r="F27" i="3"/>
  <c r="K97" i="6"/>
  <c r="K98" i="6" s="1"/>
  <c r="K98" i="7"/>
  <c r="J56" i="4" l="1"/>
  <c r="J73" i="4"/>
  <c r="J75" i="4" s="1"/>
  <c r="J64" i="4"/>
  <c r="K51" i="4"/>
  <c r="K91" i="6"/>
  <c r="L69" i="7"/>
  <c r="L22" i="6"/>
  <c r="L25" i="7"/>
  <c r="K80" i="7"/>
  <c r="L75" i="7"/>
  <c r="K55" i="6"/>
  <c r="K59" i="6" s="1"/>
  <c r="K61" i="6" s="1"/>
  <c r="K73" i="6" s="1"/>
  <c r="K76" i="6" s="1"/>
  <c r="K53" i="6"/>
  <c r="K25" i="4"/>
  <c r="K27" i="4" s="1"/>
  <c r="K20" i="4"/>
  <c r="K22" i="4" s="1"/>
  <c r="L45" i="6"/>
  <c r="L79" i="4"/>
  <c r="L69" i="4"/>
  <c r="L70" i="4" s="1"/>
  <c r="L74" i="4" s="1"/>
  <c r="L15" i="6"/>
  <c r="L17" i="6" s="1"/>
  <c r="L48" i="7"/>
  <c r="L50" i="7" s="1"/>
  <c r="L75" i="6" l="1"/>
  <c r="K80" i="6"/>
  <c r="L53" i="7"/>
  <c r="L55" i="7"/>
  <c r="L97" i="7"/>
  <c r="K84" i="7"/>
  <c r="K93" i="7" s="1"/>
  <c r="L78" i="4"/>
  <c r="L80" i="4" s="1"/>
  <c r="I26" i="3"/>
  <c r="L35" i="7"/>
  <c r="L37" i="7" s="1"/>
  <c r="G12" i="3"/>
  <c r="J65" i="4"/>
  <c r="I37" i="3"/>
  <c r="L48" i="6"/>
  <c r="L69" i="6"/>
  <c r="L71" i="6" s="1"/>
  <c r="L25" i="6"/>
  <c r="L71" i="7"/>
  <c r="L89" i="7"/>
  <c r="J58" i="4"/>
  <c r="G25" i="3"/>
  <c r="I36" i="3" l="1"/>
  <c r="I40" i="3" s="1"/>
  <c r="L50" i="6"/>
  <c r="M45" i="7"/>
  <c r="M12" i="6"/>
  <c r="M15" i="7"/>
  <c r="M17" i="7" s="1"/>
  <c r="G32" i="3"/>
  <c r="G33" i="3" s="1"/>
  <c r="G27" i="3"/>
  <c r="G14" i="3"/>
  <c r="G13" i="3"/>
  <c r="L97" i="6"/>
  <c r="L98" i="6" s="1"/>
  <c r="L98" i="7"/>
  <c r="L91" i="7"/>
  <c r="L89" i="6"/>
  <c r="L59" i="7"/>
  <c r="L61" i="7" s="1"/>
  <c r="L73" i="7" s="1"/>
  <c r="L76" i="7" s="1"/>
  <c r="I31" i="3"/>
  <c r="L35" i="6"/>
  <c r="L37" i="6" s="1"/>
  <c r="K52" i="4"/>
  <c r="K53" i="4" s="1"/>
  <c r="K84" i="6"/>
  <c r="K93" i="6" s="1"/>
  <c r="L91" i="6" l="1"/>
  <c r="L51" i="4"/>
  <c r="M45" i="6"/>
  <c r="M79" i="4"/>
  <c r="M69" i="4"/>
  <c r="M70" i="4" s="1"/>
  <c r="M74" i="4" s="1"/>
  <c r="M15" i="6"/>
  <c r="M17" i="6" s="1"/>
  <c r="K64" i="4"/>
  <c r="K56" i="4"/>
  <c r="K73" i="4"/>
  <c r="K75" i="4" s="1"/>
  <c r="M48" i="7"/>
  <c r="M50" i="7" s="1"/>
  <c r="M75" i="7"/>
  <c r="L80" i="7"/>
  <c r="L55" i="6"/>
  <c r="L59" i="6" s="1"/>
  <c r="L61" i="6" s="1"/>
  <c r="L73" i="6" s="1"/>
  <c r="L76" i="6" s="1"/>
  <c r="L53" i="6"/>
  <c r="L25" i="4"/>
  <c r="L27" i="4" s="1"/>
  <c r="L20" i="4"/>
  <c r="L22" i="4" s="1"/>
  <c r="M69" i="7"/>
  <c r="M22" i="6"/>
  <c r="M25" i="7"/>
  <c r="M75" i="6" l="1"/>
  <c r="L80" i="6"/>
  <c r="M78" i="4"/>
  <c r="M80" i="4" s="1"/>
  <c r="J26" i="3"/>
  <c r="L84" i="7"/>
  <c r="L93" i="7" s="1"/>
  <c r="J37" i="3"/>
  <c r="M48" i="6"/>
  <c r="M35" i="7"/>
  <c r="M37" i="7" s="1"/>
  <c r="M25" i="6"/>
  <c r="M69" i="6"/>
  <c r="M71" i="6" s="1"/>
  <c r="M71" i="7"/>
  <c r="M89" i="7"/>
  <c r="M53" i="7"/>
  <c r="M55" i="7"/>
  <c r="M97" i="7"/>
  <c r="K58" i="4"/>
  <c r="H25" i="3"/>
  <c r="H12" i="3"/>
  <c r="K65" i="4"/>
  <c r="M91" i="7" l="1"/>
  <c r="M89" i="6"/>
  <c r="M59" i="7"/>
  <c r="M61" i="7" s="1"/>
  <c r="M73" i="7" s="1"/>
  <c r="M76" i="7" s="1"/>
  <c r="N45" i="7"/>
  <c r="N12" i="6"/>
  <c r="N15" i="7"/>
  <c r="N17" i="7" s="1"/>
  <c r="P12" i="7"/>
  <c r="P15" i="7" s="1"/>
  <c r="P17" i="7" s="1"/>
  <c r="J31" i="3"/>
  <c r="M35" i="6"/>
  <c r="M37" i="6" s="1"/>
  <c r="H14" i="3"/>
  <c r="H13" i="3"/>
  <c r="H32" i="3"/>
  <c r="H33" i="3" s="1"/>
  <c r="H27" i="3"/>
  <c r="L84" i="6"/>
  <c r="L93" i="6" s="1"/>
  <c r="L52" i="4"/>
  <c r="L53" i="4" s="1"/>
  <c r="J36" i="3"/>
  <c r="J40" i="3" s="1"/>
  <c r="M50" i="6"/>
  <c r="M97" i="6"/>
  <c r="M98" i="6" s="1"/>
  <c r="M98" i="7"/>
  <c r="M53" i="6" l="1"/>
  <c r="M25" i="4"/>
  <c r="M27" i="4" s="1"/>
  <c r="M20" i="4"/>
  <c r="M22" i="4" s="1"/>
  <c r="M55" i="6"/>
  <c r="M59" i="6" s="1"/>
  <c r="M61" i="6" s="1"/>
  <c r="M73" i="6" s="1"/>
  <c r="M76" i="6" s="1"/>
  <c r="M80" i="7"/>
  <c r="N75" i="7"/>
  <c r="N69" i="7"/>
  <c r="N22" i="6"/>
  <c r="N25" i="7"/>
  <c r="P22" i="7"/>
  <c r="P25" i="7" s="1"/>
  <c r="P35" i="7" s="1"/>
  <c r="P37" i="7" s="1"/>
  <c r="L73" i="4"/>
  <c r="L75" i="4" s="1"/>
  <c r="L64" i="4"/>
  <c r="L56" i="4"/>
  <c r="M51" i="4"/>
  <c r="M91" i="6"/>
  <c r="N45" i="6"/>
  <c r="N79" i="4"/>
  <c r="N69" i="4"/>
  <c r="N70" i="4" s="1"/>
  <c r="N74" i="4" s="1"/>
  <c r="N15" i="6"/>
  <c r="N17" i="6" s="1"/>
  <c r="P12" i="6"/>
  <c r="P15" i="6" s="1"/>
  <c r="P17" i="6" s="1"/>
  <c r="N48" i="7"/>
  <c r="N50" i="7" s="1"/>
  <c r="N35" i="7" l="1"/>
  <c r="N37" i="7" s="1"/>
  <c r="N55" i="7"/>
  <c r="N53" i="7"/>
  <c r="N97" i="7"/>
  <c r="N69" i="6"/>
  <c r="N71" i="6" s="1"/>
  <c r="N25" i="6"/>
  <c r="P22" i="6"/>
  <c r="P25" i="6" s="1"/>
  <c r="P35" i="6" s="1"/>
  <c r="P37" i="6" s="1"/>
  <c r="N71" i="7"/>
  <c r="N89" i="7"/>
  <c r="K26" i="3"/>
  <c r="N78" i="4"/>
  <c r="N80" i="4" s="1"/>
  <c r="M84" i="7"/>
  <c r="M93" i="7" s="1"/>
  <c r="L58" i="4"/>
  <c r="I25" i="3"/>
  <c r="K37" i="3"/>
  <c r="N48" i="6"/>
  <c r="I12" i="3"/>
  <c r="L65" i="4"/>
  <c r="N75" i="6"/>
  <c r="M80" i="6"/>
  <c r="N35" i="6" l="1"/>
  <c r="N37" i="6" s="1"/>
  <c r="M84" i="6"/>
  <c r="M93" i="6" s="1"/>
  <c r="M52" i="4"/>
  <c r="M53" i="4" s="1"/>
  <c r="I14" i="3"/>
  <c r="I13" i="3"/>
  <c r="K31" i="3"/>
  <c r="N97" i="6"/>
  <c r="N98" i="6" s="1"/>
  <c r="N98" i="7"/>
  <c r="K36" i="3"/>
  <c r="K40" i="3" s="1"/>
  <c r="N50" i="6"/>
  <c r="N59" i="7"/>
  <c r="N61" i="7" s="1"/>
  <c r="N73" i="7" s="1"/>
  <c r="N76" i="7" s="1"/>
  <c r="N80" i="7" s="1"/>
  <c r="N84" i="7" s="1"/>
  <c r="N91" i="7"/>
  <c r="N89" i="6"/>
  <c r="I32" i="3"/>
  <c r="I33" i="3" s="1"/>
  <c r="I27" i="3"/>
  <c r="N93" i="7" l="1"/>
  <c r="N53" i="6"/>
  <c r="N25" i="4"/>
  <c r="N20" i="4"/>
  <c r="N55" i="6"/>
  <c r="N59" i="6" s="1"/>
  <c r="N61" i="6" s="1"/>
  <c r="N73" i="6" s="1"/>
  <c r="N76" i="6" s="1"/>
  <c r="N80" i="6" s="1"/>
  <c r="M73" i="4"/>
  <c r="M75" i="4" s="1"/>
  <c r="M56" i="4"/>
  <c r="M64" i="4"/>
  <c r="N51" i="4"/>
  <c r="N91" i="6"/>
  <c r="J12" i="3" l="1"/>
  <c r="M65" i="4"/>
  <c r="J25" i="3"/>
  <c r="M58" i="4"/>
  <c r="N22" i="4"/>
  <c r="O20" i="4"/>
  <c r="O22" i="4" s="1"/>
  <c r="N27" i="4"/>
  <c r="O25" i="4"/>
  <c r="O27" i="4" s="1"/>
  <c r="N84" i="6"/>
  <c r="N93" i="6" s="1"/>
  <c r="N52" i="4"/>
  <c r="N53" i="4" s="1"/>
  <c r="N73" i="4" l="1"/>
  <c r="N75" i="4" s="1"/>
  <c r="N56" i="4"/>
  <c r="N64" i="4"/>
  <c r="J32" i="3"/>
  <c r="J33" i="3" s="1"/>
  <c r="J27" i="3"/>
  <c r="J14" i="3"/>
  <c r="J13" i="3"/>
  <c r="K12" i="3" l="1"/>
  <c r="N65" i="4"/>
  <c r="K25" i="3"/>
  <c r="N58" i="4"/>
  <c r="K32" i="3" l="1"/>
  <c r="K33" i="3" s="1"/>
  <c r="K27" i="3"/>
  <c r="K14" i="3"/>
  <c r="K13" i="3"/>
</calcChain>
</file>

<file path=xl/sharedStrings.xml><?xml version="1.0" encoding="utf-8"?>
<sst xmlns="http://schemas.openxmlformats.org/spreadsheetml/2006/main" count="1109" uniqueCount="297">
  <si>
    <t>Input assumptions for data not included in Long Term Plans</t>
  </si>
  <si>
    <t>Assumption input</t>
  </si>
  <si>
    <t>Drinking water</t>
  </si>
  <si>
    <t>Wastewater</t>
  </si>
  <si>
    <t>Stormwater</t>
  </si>
  <si>
    <t>Water Serv</t>
  </si>
  <si>
    <t>Rating units (rateable properties) / number connections (2023/24)</t>
  </si>
  <si>
    <t>Annual growth rate (in connections / ratable properties)</t>
  </si>
  <si>
    <t>Percentage of rates attibutable to residential customers</t>
  </si>
  <si>
    <t>Infrastructure Assets - Cost (30 June 2024)</t>
  </si>
  <si>
    <t>Infrastructure Assets - Accumlated Depreciation (30 June 2024)</t>
  </si>
  <si>
    <t>Cash and equivalents (at 30 June 2024)</t>
  </si>
  <si>
    <t>Borrowings (at 30 June 2024)</t>
  </si>
  <si>
    <t>Maximum debt to operating revenue (limit)</t>
  </si>
  <si>
    <t>Revaluation Reserve (30 June 2024)</t>
  </si>
  <si>
    <t>Infrastructure Assets - Replacement Cost (30 June 2024)</t>
  </si>
  <si>
    <t>Percentage of development contributions included</t>
  </si>
  <si>
    <t>LGFA FFO:debt covenant</t>
  </si>
  <si>
    <t>DEPRECIATION</t>
  </si>
  <si>
    <t>FY24/25</t>
  </si>
  <si>
    <t>FY25/26</t>
  </si>
  <si>
    <t>FY26/27</t>
  </si>
  <si>
    <t>FY27/28</t>
  </si>
  <si>
    <t>FY28/29</t>
  </si>
  <si>
    <t>FY29/30</t>
  </si>
  <si>
    <t>FY30/31</t>
  </si>
  <si>
    <t>FY31/32</t>
  </si>
  <si>
    <t>FY32/33</t>
  </si>
  <si>
    <t>FY33/34</t>
  </si>
  <si>
    <t>FY23/24</t>
  </si>
  <si>
    <t>Depreciation - drinking water</t>
  </si>
  <si>
    <t>Depreciation - wastewater</t>
  </si>
  <si>
    <t>Depreciation - stormwater</t>
  </si>
  <si>
    <t>REVALUATION MOVEMENTS</t>
  </si>
  <si>
    <t>Revaluation movements - drinking water</t>
  </si>
  <si>
    <t>Revaluation movements - wastewater</t>
  </si>
  <si>
    <t>Revaluation movements - stormwater</t>
  </si>
  <si>
    <t>REPLACEMENT VALUE</t>
  </si>
  <si>
    <t>Replacement value - drinking water</t>
  </si>
  <si>
    <t>Replacement value - wastewater</t>
  </si>
  <si>
    <t>Replacement value - stormwater</t>
  </si>
  <si>
    <t>Total replacement value</t>
  </si>
  <si>
    <t>BOOK VALUE</t>
  </si>
  <si>
    <t>Book value - drinking water</t>
  </si>
  <si>
    <t>Book value - wastewater</t>
  </si>
  <si>
    <t>Book value - stormwater</t>
  </si>
  <si>
    <t>Book value to replacement value - drinking water</t>
  </si>
  <si>
    <t>Book value to replacement value - wastewater</t>
  </si>
  <si>
    <t>Book value to replacement value - stormwater</t>
  </si>
  <si>
    <t>NUMBER OF CONNECTIONS</t>
  </si>
  <si>
    <t>Connections - drinking water</t>
  </si>
  <si>
    <t>Connections - wastewater</t>
  </si>
  <si>
    <t>Connections - stormwater</t>
  </si>
  <si>
    <t>MEDIAN HOUSEHOLD INCOME</t>
  </si>
  <si>
    <t>Projected median household income ($000)</t>
  </si>
  <si>
    <t>Water Services Delivery Plan Financial Template</t>
  </si>
  <si>
    <t>Projected financial statements required in Water Services Delivery Plans</t>
  </si>
  <si>
    <t>Water Services Delivery Plans ('Plans') require a minimum of ten year financial projections for water services - covering the financial years FY2024/25 - FY2033/34.</t>
  </si>
  <si>
    <t>This requires the following projected financial statements to be prepared and included in Plans:</t>
  </si>
  <si>
    <t xml:space="preserve">     •  
     •  
     •  
     •  </t>
  </si>
  <si>
    <t>Projected Funding Impact Statement (which councils already prepare in Long Term Plans);
Projected Statement of Comprehensive Revenue and Expense;
Projected Statement of Cashflows; and
Projected Statement of Financial Position.</t>
  </si>
  <si>
    <t>The projected financial statements are special purpose financial statements for the purpose of 'PBE FRS 42 – Prospective Financial Statements' and must be prepared for:</t>
  </si>
  <si>
    <r>
      <t xml:space="preserve">Drinking water activities - in section </t>
    </r>
    <r>
      <rPr>
        <b/>
        <i/>
        <sz val="11"/>
        <color rgb="FF00ABC5"/>
        <rFont val="Aptos Narrow"/>
        <family val="2"/>
        <scheme val="minor"/>
      </rPr>
      <t>'Ringfenced financial projections for drinking water'</t>
    </r>
    <r>
      <rPr>
        <sz val="11"/>
        <color theme="1"/>
        <rFont val="Aptos Narrow"/>
        <family val="2"/>
        <scheme val="minor"/>
      </rPr>
      <t xml:space="preserve"> of the Plan Template;
Wastewater activities - in section </t>
    </r>
    <r>
      <rPr>
        <b/>
        <i/>
        <sz val="11"/>
        <color rgb="FF00ABC5"/>
        <rFont val="Aptos Narrow"/>
        <family val="2"/>
        <scheme val="minor"/>
      </rPr>
      <t>'Ringfenced financial projections for wastewater'</t>
    </r>
    <r>
      <rPr>
        <sz val="11"/>
        <color theme="1"/>
        <rFont val="Aptos Narrow"/>
        <family val="2"/>
        <scheme val="minor"/>
      </rPr>
      <t xml:space="preserve">; 
Stormwater activities - in section </t>
    </r>
    <r>
      <rPr>
        <b/>
        <i/>
        <sz val="11"/>
        <color rgb="FF00ABC5"/>
        <rFont val="Aptos Narrow"/>
        <family val="2"/>
        <scheme val="minor"/>
      </rPr>
      <t>'Ringfenced financial projections for stormwater'</t>
    </r>
    <r>
      <rPr>
        <sz val="11"/>
        <color theme="1"/>
        <rFont val="Aptos Narrow"/>
        <family val="2"/>
        <scheme val="minor"/>
      </rPr>
      <t xml:space="preserve">; and
Consolidated water activities, being the summation of drinking water, wastewater and stormwater activities - in section </t>
    </r>
    <r>
      <rPr>
        <b/>
        <i/>
        <sz val="11"/>
        <color rgb="FF00ABC5"/>
        <rFont val="Aptos Narrow"/>
        <family val="2"/>
        <scheme val="minor"/>
      </rPr>
      <t>'Projected financial statements - combined water services'</t>
    </r>
    <r>
      <rPr>
        <sz val="11"/>
        <color theme="1"/>
        <rFont val="Aptos Narrow"/>
        <family val="2"/>
        <scheme val="minor"/>
      </rPr>
      <t>.</t>
    </r>
  </si>
  <si>
    <t>Projected financial statements should comply with the following principles:</t>
  </si>
  <si>
    <t xml:space="preserve">     •  
     •  
     •         
     •  
     •  
     •  
     •  
     •  </t>
  </si>
  <si>
    <t>Prospective Statements of Comprehensive Revenue and Expense should reflect income and expenditure from the funding impact statement but include non-cash movements such as depreciation and revaluation adjustments.
Prospective Statements of Financial Position should separately identify cash, assets, liabilities and equity for the particular water service;
Prospective Statements of Cashflows should be reconcilable with the cash movements in the prospective funding impact statement.
The financial statements should be consistent and reconcilable – for example: 
     •  the statement of financial position should ‘balance’; 
     •  movements in cash reserves in the FIS should reflect the movement in cash reserves.
Revenues for each water service should be separately identifiable from other council revenues.
Revenues generated for water services should fund expenditure on water services, not other council business.
Any cash surpluses generated for water services should be retained for future expenditure on water services.
Internal borrowings should be short-dated, commercial arrangements to enable cash repayment when the funds are required for water services expenditure or investment.</t>
  </si>
  <si>
    <t>Financial measures to support the 'Financial Sustainability Assessment'</t>
  </si>
  <si>
    <t>Plans must include a council self-assessment of the financial sustainability of their water services delivery. Plans should aim to ‘achieve’ financial sustainability by 30 June 2028 at the latest.</t>
  </si>
  <si>
    <t>Financial sustainability is not an absolute test. In order to assist with this assessment, Plans ask councils to consider three factors to assist the determination of whether water services delivery is financially sustainable.</t>
  </si>
  <si>
    <t>These factors are:</t>
  </si>
  <si>
    <t xml:space="preserve">     •  
     •  
     •  </t>
  </si>
  <si>
    <r>
      <rPr>
        <b/>
        <sz val="11"/>
        <color rgb="FF0070C0"/>
        <rFont val="Aptos Narrow"/>
        <family val="2"/>
        <scheme val="minor"/>
      </rPr>
      <t>Revenue sufficiency</t>
    </r>
    <r>
      <rPr>
        <b/>
        <sz val="11"/>
        <color rgb="FF00ABC5"/>
        <rFont val="Aptos Narrow"/>
        <family val="2"/>
        <scheme val="minor"/>
      </rPr>
      <t xml:space="preserve"> </t>
    </r>
    <r>
      <rPr>
        <sz val="11"/>
        <color theme="1"/>
        <rFont val="Aptos Narrow"/>
        <family val="2"/>
        <scheme val="minor"/>
      </rPr>
      <t xml:space="preserve">– is there sufficient revenue to cover the costs (including servicing debt) of water services delivery?
</t>
    </r>
    <r>
      <rPr>
        <b/>
        <sz val="11"/>
        <color rgb="FF0070C0"/>
        <rFont val="Aptos Narrow"/>
        <family val="2"/>
        <scheme val="minor"/>
      </rPr>
      <t xml:space="preserve">Investment sufficiency </t>
    </r>
    <r>
      <rPr>
        <sz val="11"/>
        <color theme="1"/>
        <rFont val="Aptos Narrow"/>
        <family val="2"/>
        <scheme val="minor"/>
      </rPr>
      <t xml:space="preserve">– is the projected level of investment sufficient to meet regulatory requirements and provide for growth?
</t>
    </r>
    <r>
      <rPr>
        <b/>
        <sz val="11"/>
        <color rgb="FF0070C0"/>
        <rFont val="Aptos Narrow"/>
        <family val="2"/>
        <scheme val="minor"/>
      </rPr>
      <t>Financing sufficiency</t>
    </r>
    <r>
      <rPr>
        <b/>
        <sz val="11"/>
        <color rgb="FF00ABC5"/>
        <rFont val="Aptos Narrow"/>
        <family val="2"/>
        <scheme val="minor"/>
      </rPr>
      <t xml:space="preserve"> </t>
    </r>
    <r>
      <rPr>
        <sz val="11"/>
        <color theme="1"/>
        <rFont val="Aptos Narrow"/>
        <family val="2"/>
        <scheme val="minor"/>
      </rPr>
      <t>– are funding and finance arrangements sufficient to meet investment requirements?</t>
    </r>
  </si>
  <si>
    <t>A series of performance indicators for each component has been developed to assist with assessment. The intention is that these measures will indicate whether there is sufficient revenue, investment and financing within a Plan.</t>
  </si>
  <si>
    <t>The financial sustainability assessment is to be undertaken on water services in aggregate (being the summation of drinking water, wastewater and stormwater financial projections); however, in completing this assessment councils should consider the financial sustainability test measures for each individual water service.</t>
  </si>
  <si>
    <r>
      <t xml:space="preserve">The </t>
    </r>
    <r>
      <rPr>
        <b/>
        <sz val="11"/>
        <color rgb="FF0070C0"/>
        <rFont val="Aptos Narrow"/>
        <family val="2"/>
        <scheme val="minor"/>
      </rPr>
      <t xml:space="preserve">revenue sufficiency test </t>
    </r>
    <r>
      <rPr>
        <sz val="11"/>
        <color theme="1"/>
        <rFont val="Aptos Narrow"/>
        <family val="2"/>
        <scheme val="minor"/>
      </rPr>
      <t>asks councils to confirm:</t>
    </r>
  </si>
  <si>
    <t xml:space="preserve">     •  
     •
     •    </t>
  </si>
  <si>
    <t>That projected revenues are sufficient to cover the costs (including servicing debt) of water services delivery;
That projected revenues are sufficient to finance the required level of investment; and
Whether projected revenues have been assessed as meeting the ‘revenue sufficiency’ test.</t>
  </si>
  <si>
    <r>
      <t xml:space="preserve">The </t>
    </r>
    <r>
      <rPr>
        <b/>
        <sz val="11"/>
        <color rgb="FF0070C0"/>
        <rFont val="Aptos Narrow"/>
        <family val="2"/>
        <scheme val="minor"/>
      </rPr>
      <t xml:space="preserve">investment sufficiency test </t>
    </r>
    <r>
      <rPr>
        <sz val="11"/>
        <color theme="1"/>
        <rFont val="Aptos Narrow"/>
        <family val="2"/>
        <scheme val="minor"/>
      </rPr>
      <t>asks councils to confirm:</t>
    </r>
  </si>
  <si>
    <t>That the proposed level of investment is sufficient to meet levels of service, regulatory requirements and provide for growth;
That the proposed level of investment is fully funded by projected revenues and access to financing; and
Confirm that projected levels of investment have been assessed as meeting the ‘revenue sufficiency’ test.</t>
  </si>
  <si>
    <r>
      <t xml:space="preserve">The </t>
    </r>
    <r>
      <rPr>
        <b/>
        <sz val="11"/>
        <color rgb="FF0070C0"/>
        <rFont val="Aptos Narrow"/>
        <family val="2"/>
        <scheme val="minor"/>
      </rPr>
      <t xml:space="preserve">financing sufficiency test </t>
    </r>
    <r>
      <rPr>
        <sz val="11"/>
        <color theme="1"/>
        <rFont val="Aptos Narrow"/>
        <family val="2"/>
        <scheme val="minor"/>
      </rPr>
      <t>asks councils to confirm:</t>
    </r>
  </si>
  <si>
    <t>Whether projected total council borrowings are within council borrowing limits;
Whether projected water services borrowings are within the council-determined limit for water services borrowing; and
That that the required levels of borrowings can be sourced; and
That the Plan meets the ‘financing sufficiency’ test.</t>
  </si>
  <si>
    <t>Purpose of this template</t>
  </si>
  <si>
    <t>This template is to assist councils in developing the financial projections required in Plans, as well as the population of financial measures and charts required in the Financial Sustainability Assessment.</t>
  </si>
  <si>
    <r>
      <rPr>
        <b/>
        <sz val="11"/>
        <color rgb="FF00ABC5"/>
        <rFont val="Aptos Narrow"/>
        <family val="2"/>
        <scheme val="minor"/>
      </rPr>
      <t>1. Charts</t>
    </r>
    <r>
      <rPr>
        <sz val="11"/>
        <color rgb="FF000000"/>
        <rFont val="Aptos Narrow"/>
        <family val="2"/>
        <scheme val="minor"/>
      </rPr>
      <t xml:space="preserve"> - this sheet is to populate input data to create the charts required in the </t>
    </r>
    <r>
      <rPr>
        <b/>
        <i/>
        <sz val="11"/>
        <color rgb="FF00ABC5"/>
        <rFont val="Aptos Narrow"/>
        <family val="2"/>
        <scheme val="minor"/>
      </rPr>
      <t>'Financial Sustainability'</t>
    </r>
    <r>
      <rPr>
        <i/>
        <sz val="11"/>
        <color rgb="FF000000"/>
        <rFont val="Aptos Narrow"/>
        <family val="2"/>
        <scheme val="minor"/>
      </rPr>
      <t xml:space="preserve"> </t>
    </r>
    <r>
      <rPr>
        <sz val="11"/>
        <color rgb="FF000000"/>
        <rFont val="Aptos Narrow"/>
        <family val="2"/>
        <scheme val="minor"/>
      </rPr>
      <t>sections of the Plan Template.</t>
    </r>
  </si>
  <si>
    <t>The charts are:</t>
  </si>
  <si>
    <t xml:space="preserve">     •  </t>
  </si>
  <si>
    <r>
      <rPr>
        <b/>
        <sz val="11"/>
        <color rgb="FF0070C0"/>
        <rFont val="Aptos Narrow"/>
        <family val="2"/>
        <scheme val="minor"/>
      </rPr>
      <t>Projected water services revenue and expenses</t>
    </r>
    <r>
      <rPr>
        <sz val="11"/>
        <color rgb="FF0070C0"/>
        <rFont val="Aptos Narrow"/>
        <family val="2"/>
        <scheme val="minor"/>
      </rPr>
      <t xml:space="preserve"> </t>
    </r>
    <r>
      <rPr>
        <sz val="11"/>
        <rFont val="Aptos Narrow"/>
        <family val="2"/>
        <scheme val="minor"/>
      </rPr>
      <t xml:space="preserve">- </t>
    </r>
    <r>
      <rPr>
        <sz val="11"/>
        <color theme="1"/>
        <rFont val="Aptos Narrow"/>
        <family val="2"/>
        <scheme val="minor"/>
      </rPr>
      <t xml:space="preserve">shows projected waters services revenues and costs, as well as projected net surpluses or deficits in section </t>
    </r>
    <r>
      <rPr>
        <b/>
        <i/>
        <sz val="11"/>
        <color rgb="FF00ABC5"/>
        <rFont val="Aptos Narrow"/>
        <family val="2"/>
        <scheme val="minor"/>
      </rPr>
      <t>'Financial sustainability assessment- Revenue Sufficiency'</t>
    </r>
    <r>
      <rPr>
        <sz val="11"/>
        <color theme="1"/>
        <rFont val="Aptos Narrow"/>
        <family val="2"/>
        <scheme val="minor"/>
      </rPr>
      <t>;</t>
    </r>
  </si>
  <si>
    <r>
      <rPr>
        <b/>
        <sz val="11"/>
        <color rgb="FF0070C0"/>
        <rFont val="Aptos Narrow"/>
        <family val="2"/>
        <scheme val="minor"/>
      </rPr>
      <t>Projected water services investment requirements</t>
    </r>
    <r>
      <rPr>
        <sz val="11"/>
        <color rgb="FF0070C0"/>
        <rFont val="Aptos Narrow"/>
        <family val="2"/>
        <scheme val="minor"/>
      </rPr>
      <t xml:space="preserve"> </t>
    </r>
    <r>
      <rPr>
        <sz val="11"/>
        <rFont val="Aptos Narrow"/>
        <family val="2"/>
        <scheme val="minor"/>
      </rPr>
      <t xml:space="preserve">- </t>
    </r>
    <r>
      <rPr>
        <sz val="11"/>
        <color theme="1"/>
        <rFont val="Aptos Narrow"/>
        <family val="2"/>
        <scheme val="minor"/>
      </rPr>
      <t xml:space="preserve">shows projected investment split between renewals, improving levels of service and growth, and compares this level of investment to projected depreciation charges - in section </t>
    </r>
    <r>
      <rPr>
        <b/>
        <i/>
        <sz val="11"/>
        <color rgb="FF00ABC5"/>
        <rFont val="Aptos Narrow"/>
        <family val="2"/>
        <scheme val="minor"/>
      </rPr>
      <t>'Financial sustainability assessment- Investment Sufficiency'</t>
    </r>
    <r>
      <rPr>
        <sz val="11"/>
        <color theme="1"/>
        <rFont val="Aptos Narrow"/>
        <family val="2"/>
        <scheme val="minor"/>
      </rPr>
      <t>;</t>
    </r>
  </si>
  <si>
    <r>
      <rPr>
        <b/>
        <sz val="11"/>
        <color rgb="FF0070C0"/>
        <rFont val="Aptos Narrow"/>
        <family val="2"/>
        <scheme val="minor"/>
      </rPr>
      <t>Projected council net debt to operating revenue</t>
    </r>
    <r>
      <rPr>
        <sz val="11"/>
        <rFont val="Aptos Narrow"/>
        <family val="2"/>
        <scheme val="minor"/>
      </rPr>
      <t xml:space="preserve"> - </t>
    </r>
    <r>
      <rPr>
        <sz val="11"/>
        <color theme="1"/>
        <rFont val="Aptos Narrow"/>
        <family val="2"/>
        <scheme val="minor"/>
      </rPr>
      <t xml:space="preserve">shows projected council net debt and operating revenues, and net debt to operating revenue against borrowing limits - in section </t>
    </r>
    <r>
      <rPr>
        <b/>
        <i/>
        <sz val="11"/>
        <color rgb="FF00ABC5"/>
        <rFont val="Aptos Narrow"/>
        <family val="2"/>
        <scheme val="minor"/>
      </rPr>
      <t>'Financial sustainability assessment- Financing Sufficiency'</t>
    </r>
    <r>
      <rPr>
        <sz val="11"/>
        <color theme="1"/>
        <rFont val="Aptos Narrow"/>
        <family val="2"/>
        <scheme val="minor"/>
      </rPr>
      <t>; and</t>
    </r>
  </si>
  <si>
    <r>
      <rPr>
        <b/>
        <sz val="11"/>
        <color rgb="FF0070C0"/>
        <rFont val="Aptos Narrow"/>
        <family val="2"/>
        <scheme val="minor"/>
      </rPr>
      <t>Projected water services net debt to operating revenue</t>
    </r>
    <r>
      <rPr>
        <sz val="11"/>
        <color rgb="FF0070C0"/>
        <rFont val="Aptos Narrow"/>
        <family val="2"/>
        <scheme val="minor"/>
      </rPr>
      <t xml:space="preserve"> </t>
    </r>
    <r>
      <rPr>
        <sz val="11"/>
        <rFont val="Aptos Narrow"/>
        <family val="2"/>
        <scheme val="minor"/>
      </rPr>
      <t xml:space="preserve">- </t>
    </r>
    <r>
      <rPr>
        <sz val="11"/>
        <color theme="1"/>
        <rFont val="Aptos Narrow"/>
        <family val="2"/>
        <scheme val="minor"/>
      </rPr>
      <t xml:space="preserve">shows projected waters services net debt and operating revenues, and net debt to operating revenue against borrowing limits - in section </t>
    </r>
    <r>
      <rPr>
        <b/>
        <i/>
        <sz val="11"/>
        <color rgb="FF00ABC5"/>
        <rFont val="Aptos Narrow"/>
        <family val="2"/>
        <scheme val="minor"/>
      </rPr>
      <t>'Financial sustainability assessment- Financing Sufficiency'.</t>
    </r>
  </si>
  <si>
    <r>
      <rPr>
        <b/>
        <sz val="11"/>
        <color rgb="FF00ABC5"/>
        <rFont val="Aptos Narrow"/>
        <family val="2"/>
        <scheme val="minor"/>
      </rPr>
      <t>2. Measures</t>
    </r>
    <r>
      <rPr>
        <sz val="11"/>
        <color rgb="FF000000"/>
        <rFont val="Aptos Narrow"/>
        <family val="2"/>
        <scheme val="minor"/>
      </rPr>
      <t xml:space="preserve"> - this sheet is to populate input data for performance measures required in the </t>
    </r>
    <r>
      <rPr>
        <b/>
        <i/>
        <sz val="11"/>
        <color rgb="FF00ABC5"/>
        <rFont val="Aptos Narrow"/>
        <family val="2"/>
        <scheme val="minor"/>
      </rPr>
      <t>'Financial Sustainability'</t>
    </r>
    <r>
      <rPr>
        <i/>
        <sz val="11"/>
        <color rgb="FF000000"/>
        <rFont val="Aptos Narrow"/>
        <family val="2"/>
        <scheme val="minor"/>
      </rPr>
      <t xml:space="preserve"> </t>
    </r>
    <r>
      <rPr>
        <sz val="11"/>
        <color rgb="FF000000"/>
        <rFont val="Aptos Narrow"/>
        <family val="2"/>
        <scheme val="minor"/>
      </rPr>
      <t>sections of the Plan Template.</t>
    </r>
  </si>
  <si>
    <t>Revenue sufficiency measures:</t>
  </si>
  <si>
    <r>
      <rPr>
        <b/>
        <sz val="11"/>
        <color rgb="FF0070C0"/>
        <rFont val="Aptos Narrow"/>
        <family val="2"/>
        <scheme val="minor"/>
      </rPr>
      <t>Projected average water charges per connection</t>
    </r>
    <r>
      <rPr>
        <b/>
        <sz val="11"/>
        <color theme="1"/>
        <rFont val="Aptos Narrow"/>
        <family val="2"/>
        <scheme val="minor"/>
      </rPr>
      <t xml:space="preserve"> </t>
    </r>
    <r>
      <rPr>
        <sz val="11"/>
        <color theme="1"/>
        <rFont val="Aptos Narrow"/>
        <family val="2"/>
        <scheme val="minor"/>
      </rPr>
      <t>- average charges per connection for each water service, and total for water services, inclusive of GST; and year on year increases in average charges per connection.</t>
    </r>
  </si>
  <si>
    <r>
      <rPr>
        <b/>
        <sz val="11"/>
        <color rgb="FF0070C0"/>
        <rFont val="Aptos Narrow"/>
        <family val="2"/>
        <scheme val="minor"/>
      </rPr>
      <t>Water services charges as a percentage of median household income</t>
    </r>
    <r>
      <rPr>
        <sz val="11"/>
        <color theme="1"/>
        <rFont val="Aptos Narrow"/>
        <family val="2"/>
        <scheme val="minor"/>
      </rPr>
      <t xml:space="preserve"> - average household water bills for water services divided by projected median household income.</t>
    </r>
  </si>
  <si>
    <r>
      <rPr>
        <b/>
        <sz val="11"/>
        <color rgb="FF0070C0"/>
        <rFont val="Aptos Narrow"/>
        <family val="2"/>
        <scheme val="minor"/>
      </rPr>
      <t>Operating surplus ratio</t>
    </r>
    <r>
      <rPr>
        <sz val="11"/>
        <color theme="1"/>
        <rFont val="Aptos Narrow"/>
        <family val="2"/>
        <scheme val="minor"/>
      </rPr>
      <t xml:space="preserve"> - Operating surplus (excluding capital revenues) divided by operating revenues. This measures whether operating revenues cover operating expenses. A negative percentage indicates the percentage increase required for operating revenues to fully cover operating expenses.</t>
    </r>
  </si>
  <si>
    <r>
      <rPr>
        <b/>
        <sz val="11"/>
        <color rgb="FF0070C0"/>
        <rFont val="Aptos Narrow"/>
        <family val="2"/>
        <scheme val="minor"/>
      </rPr>
      <t>Operating cash ratio</t>
    </r>
    <r>
      <rPr>
        <sz val="11"/>
        <color rgb="FF0070C0"/>
        <rFont val="Aptos Narrow"/>
        <family val="2"/>
        <scheme val="minor"/>
      </rPr>
      <t xml:space="preserve"> </t>
    </r>
    <r>
      <rPr>
        <sz val="11"/>
        <color theme="1"/>
        <rFont val="Aptos Narrow"/>
        <family val="2"/>
        <scheme val="minor"/>
      </rPr>
      <t>- Operating surplus plus depreciation plus interests costs minus capital revenues, divided by operating revenue. This measures how much cash is generated from operating revenues once cash operating costs are deducted.</t>
    </r>
  </si>
  <si>
    <t>Investment sufficiency measures:</t>
  </si>
  <si>
    <r>
      <rPr>
        <b/>
        <sz val="11"/>
        <color rgb="FF0070C0"/>
        <rFont val="Aptos Narrow"/>
        <family val="2"/>
        <scheme val="minor"/>
      </rPr>
      <t>Asset sustainability ratio</t>
    </r>
    <r>
      <rPr>
        <sz val="11"/>
        <color theme="1"/>
        <rFont val="Aptos Narrow"/>
        <family val="2"/>
        <scheme val="minor"/>
      </rPr>
      <t xml:space="preserve"> - Capital expenditure on renewals divided by depreciation, minus 1. This assesses whether projected renewals investment is more or less than projected depreciation, and is an indicator as to whether the renewals programme is replacing network assets in line with the rate of asset deterioration.</t>
    </r>
  </si>
  <si>
    <r>
      <rPr>
        <b/>
        <sz val="11"/>
        <color rgb="FF0070C0"/>
        <rFont val="Aptos Narrow"/>
        <family val="2"/>
        <scheme val="minor"/>
      </rPr>
      <t>Asset investment ratio</t>
    </r>
    <r>
      <rPr>
        <sz val="11"/>
        <color theme="1"/>
        <rFont val="Aptos Narrow"/>
        <family val="2"/>
        <scheme val="minor"/>
      </rPr>
      <t xml:space="preserve"> - Total capital expenditure divided by depreciation, minus 1. This compares total investment to projected depreciation.</t>
    </r>
  </si>
  <si>
    <r>
      <rPr>
        <b/>
        <sz val="11"/>
        <color rgb="FF0070C0"/>
        <rFont val="Aptos Narrow"/>
        <family val="2"/>
        <scheme val="minor"/>
      </rPr>
      <t>Asset consumption ratio</t>
    </r>
    <r>
      <rPr>
        <sz val="11"/>
        <color theme="1"/>
        <rFont val="Aptos Narrow"/>
        <family val="2"/>
        <scheme val="minor"/>
      </rPr>
      <t xml:space="preserve"> - Book value of infrastructure assets divided by replacement value of infrastructure assets. This represents the average remaining useful life of network assets. If this ratio materially reduces over time, then this means that the burden on future consumers to replace network assets is increasing.</t>
    </r>
  </si>
  <si>
    <t>Financing sufficiency measures:</t>
  </si>
  <si>
    <r>
      <rPr>
        <b/>
        <sz val="11"/>
        <color rgb="FF0070C0"/>
        <rFont val="Aptos Narrow"/>
        <family val="2"/>
        <scheme val="minor"/>
      </rPr>
      <t>Net debt to operating revenue ratio</t>
    </r>
    <r>
      <rPr>
        <sz val="11"/>
        <color theme="1"/>
        <rFont val="Aptos Narrow"/>
        <family val="2"/>
        <scheme val="minor"/>
      </rPr>
      <t xml:space="preserve"> - gross borrowings minus cash and equivalents, divided by operating revenue.</t>
    </r>
  </si>
  <si>
    <r>
      <rPr>
        <b/>
        <sz val="11"/>
        <color rgb="FF0070C0"/>
        <rFont val="Aptos Narrow"/>
        <family val="2"/>
        <scheme val="minor"/>
      </rPr>
      <t>Borrowing headroom/(shortfall) for water services</t>
    </r>
    <r>
      <rPr>
        <b/>
        <sz val="11"/>
        <color theme="1"/>
        <rFont val="Aptos Narrow"/>
        <family val="2"/>
        <scheme val="minor"/>
      </rPr>
      <t xml:space="preserve"> </t>
    </r>
    <r>
      <rPr>
        <sz val="11"/>
        <color theme="1"/>
        <rFont val="Aptos Narrow"/>
        <family val="2"/>
        <scheme val="minor"/>
      </rPr>
      <t>- Maximum allowable net debt at borrowing limit (operating revenue multiplied by ‘net debt to operating revenue limit for water services’) minus projected net debt attributed to water services. This shows whether projected borrowings are within borrowing limits, as well as the ability to borrow for unforeseen events. A positive number equates to the additional amount of borrowings that could be taken on at current revenue levels, without exceeding borrowing limits. A negative number means borrowings exceed the borrowing limit.</t>
    </r>
  </si>
  <si>
    <r>
      <rPr>
        <b/>
        <sz val="11"/>
        <color rgb="FF0070C0"/>
        <rFont val="Aptos Narrow"/>
        <family val="2"/>
        <scheme val="minor"/>
      </rPr>
      <t>Free funds from operations to net debt</t>
    </r>
    <r>
      <rPr>
        <sz val="11"/>
        <color rgb="FF0070C0"/>
        <rFont val="Aptos Narrow"/>
        <family val="2"/>
        <scheme val="minor"/>
      </rPr>
      <t xml:space="preserve"> </t>
    </r>
    <r>
      <rPr>
        <sz val="11"/>
        <color theme="1"/>
        <rFont val="Aptos Narrow"/>
        <family val="2"/>
        <scheme val="minor"/>
      </rPr>
      <t xml:space="preserve">- Free funds from operations for water services (operating revenue minus operating expenses plus depreciation and other non-cash expenses, less interest revenue), divided by net debt (gross borrowings minus cash and equivalents). Operating revenue has been used as a proxy for simplicity - councils may wish to modify this to LGFA's definition of revenue (“Cash earnings from rates, grants and subsidies, user charges, interest, dividends, financial and other revenue and excludes non-government capital contributions (e.g. developer contributions and vested assets)”).
</t>
    </r>
  </si>
  <si>
    <r>
      <rPr>
        <b/>
        <sz val="11"/>
        <color rgb="FF00ABC5"/>
        <rFont val="Aptos Narrow"/>
        <family val="2"/>
        <scheme val="minor"/>
      </rPr>
      <t>3. Investment</t>
    </r>
    <r>
      <rPr>
        <sz val="11"/>
        <color rgb="FF000000"/>
        <rFont val="Aptos Narrow"/>
        <family val="2"/>
        <scheme val="minor"/>
      </rPr>
      <t xml:space="preserve"> - this sheet is to populate input data for investment disclosures in the Plan Template. </t>
    </r>
  </si>
  <si>
    <r>
      <rPr>
        <b/>
        <sz val="11"/>
        <color rgb="FF0070C0"/>
        <rFont val="Aptos Narrow"/>
        <family val="2"/>
        <scheme val="minor"/>
      </rPr>
      <t>Projected investment in water services</t>
    </r>
    <r>
      <rPr>
        <sz val="11"/>
        <color theme="1"/>
        <rFont val="Aptos Narrow"/>
        <family val="2"/>
        <scheme val="minor"/>
      </rPr>
      <t xml:space="preserve"> - summarises projected investment for each water service - in section </t>
    </r>
    <r>
      <rPr>
        <b/>
        <i/>
        <sz val="11"/>
        <color rgb="FF00ABC5"/>
        <rFont val="Aptos Narrow"/>
        <family val="2"/>
        <scheme val="minor"/>
      </rPr>
      <t>'Projected investment in water services infrastructure'</t>
    </r>
    <r>
      <rPr>
        <sz val="11"/>
        <color theme="1"/>
        <rFont val="Aptos Narrow"/>
        <family val="2"/>
        <scheme val="minor"/>
      </rPr>
      <t>.</t>
    </r>
  </si>
  <si>
    <r>
      <rPr>
        <b/>
        <sz val="11"/>
        <color rgb="FF0070C0"/>
        <rFont val="Aptos Narrow"/>
        <family val="2"/>
        <scheme val="minor"/>
      </rPr>
      <t>Delivery against targets</t>
    </r>
    <r>
      <rPr>
        <sz val="11"/>
        <color theme="1"/>
        <rFont val="Aptos Narrow"/>
        <family val="2"/>
        <scheme val="minor"/>
      </rPr>
      <t xml:space="preserve"> - demonstrates historical delivery against planned investment from FY18/19 to FY24/25 - in section </t>
    </r>
    <r>
      <rPr>
        <b/>
        <i/>
        <sz val="11"/>
        <color rgb="FF00ABC5"/>
        <rFont val="Aptos Narrow"/>
        <family val="2"/>
        <scheme val="minor"/>
      </rPr>
      <t xml:space="preserve">'Delivery against planned investment' </t>
    </r>
    <r>
      <rPr>
        <sz val="11"/>
        <color theme="1"/>
        <rFont val="Aptos Narrow"/>
        <family val="2"/>
        <scheme val="minor"/>
      </rPr>
      <t xml:space="preserve">under </t>
    </r>
    <r>
      <rPr>
        <b/>
        <i/>
        <sz val="11"/>
        <color rgb="FF00ABC5"/>
        <rFont val="Aptos Narrow"/>
        <family val="2"/>
        <scheme val="minor"/>
      </rPr>
      <t>'Assessment of investment sufficiency'</t>
    </r>
    <r>
      <rPr>
        <sz val="11"/>
        <color theme="1"/>
        <rFont val="Aptos Narrow"/>
        <family val="2"/>
        <scheme val="minor"/>
      </rPr>
      <t>.</t>
    </r>
  </si>
  <si>
    <r>
      <rPr>
        <b/>
        <sz val="11"/>
        <color rgb="FF0070C0"/>
        <rFont val="Aptos Narrow"/>
        <family val="2"/>
        <scheme val="minor"/>
      </rPr>
      <t>Significant capital projects for drinking water</t>
    </r>
    <r>
      <rPr>
        <sz val="11"/>
        <color theme="1"/>
        <rFont val="Aptos Narrow"/>
        <family val="2"/>
        <scheme val="minor"/>
      </rPr>
      <t xml:space="preserve"> - disclosure of material drinking water investment projects - in section </t>
    </r>
    <r>
      <rPr>
        <b/>
        <i/>
        <sz val="11"/>
        <color rgb="FF00ABC5"/>
        <rFont val="Aptos Narrow"/>
        <family val="2"/>
        <scheme val="minor"/>
      </rPr>
      <t>'Significant Capital Projects - drinking water'</t>
    </r>
    <r>
      <rPr>
        <sz val="11"/>
        <color theme="1"/>
        <rFont val="Aptos Narrow"/>
        <family val="2"/>
        <scheme val="minor"/>
      </rPr>
      <t>.</t>
    </r>
  </si>
  <si>
    <r>
      <rPr>
        <b/>
        <sz val="11"/>
        <color rgb="FF0070C0"/>
        <rFont val="Aptos Narrow"/>
        <family val="2"/>
        <scheme val="minor"/>
      </rPr>
      <t>Significant capital projects for wastewater</t>
    </r>
    <r>
      <rPr>
        <sz val="11"/>
        <color theme="1"/>
        <rFont val="Aptos Narrow"/>
        <family val="2"/>
        <scheme val="minor"/>
      </rPr>
      <t xml:space="preserve"> - disclosure of material wastewater investment projects - in section </t>
    </r>
    <r>
      <rPr>
        <b/>
        <i/>
        <sz val="11"/>
        <color rgb="FF00ABC5"/>
        <rFont val="Aptos Narrow"/>
        <family val="2"/>
        <scheme val="minor"/>
      </rPr>
      <t>'Significant Capital Projects - wastewater'</t>
    </r>
    <r>
      <rPr>
        <sz val="11"/>
        <color theme="1"/>
        <rFont val="Aptos Narrow"/>
        <family val="2"/>
        <scheme val="minor"/>
      </rPr>
      <t>.</t>
    </r>
  </si>
  <si>
    <r>
      <rPr>
        <b/>
        <sz val="11"/>
        <color rgb="FF0070C0"/>
        <rFont val="Aptos Narrow"/>
        <family val="2"/>
        <scheme val="minor"/>
      </rPr>
      <t>Significant capital projects for stormwater</t>
    </r>
    <r>
      <rPr>
        <sz val="11"/>
        <color theme="1"/>
        <rFont val="Aptos Narrow"/>
        <family val="2"/>
        <scheme val="minor"/>
      </rPr>
      <t xml:space="preserve"> - disclosure of material stormwater investment projects - in section </t>
    </r>
    <r>
      <rPr>
        <b/>
        <i/>
        <sz val="11"/>
        <color rgb="FF00ABC5"/>
        <rFont val="Aptos Narrow"/>
        <family val="2"/>
        <scheme val="minor"/>
      </rPr>
      <t>'Significant Capital Projects - stormwater'</t>
    </r>
    <r>
      <rPr>
        <sz val="11"/>
        <color theme="1"/>
        <rFont val="Aptos Narrow"/>
        <family val="2"/>
        <scheme val="minor"/>
      </rPr>
      <t>.</t>
    </r>
  </si>
  <si>
    <r>
      <rPr>
        <b/>
        <sz val="11"/>
        <color rgb="FF00ABC5"/>
        <rFont val="Aptos Narrow"/>
        <family val="2"/>
        <scheme val="minor"/>
      </rPr>
      <t>4. Financials - water services</t>
    </r>
    <r>
      <rPr>
        <sz val="11"/>
        <color rgb="FF000000"/>
        <rFont val="Aptos Narrow"/>
        <family val="2"/>
        <scheme val="minor"/>
      </rPr>
      <t xml:space="preserve"> - this sheet is to aggregate financial data for drinking water, wastewater and stormwater activities.</t>
    </r>
  </si>
  <si>
    <t>Projected Funding Impact Statement;</t>
  </si>
  <si>
    <t>Projected Statement of Comprehensive Revenue and Expense;</t>
  </si>
  <si>
    <t>Projected Statement of Cashflows; and</t>
  </si>
  <si>
    <t>Projected Statement of Financial Position.</t>
  </si>
  <si>
    <r>
      <rPr>
        <b/>
        <sz val="11"/>
        <color rgb="FF00ABC5"/>
        <rFont val="Aptos Narrow"/>
        <family val="2"/>
        <scheme val="minor"/>
      </rPr>
      <t>5. Financials - drinking water</t>
    </r>
    <r>
      <rPr>
        <sz val="11"/>
        <color rgb="FF000000"/>
        <rFont val="Aptos Narrow"/>
        <family val="2"/>
        <scheme val="minor"/>
      </rPr>
      <t xml:space="preserve"> - this sheet is to assist with the presentation of projected financial statements for drinking water.</t>
    </r>
  </si>
  <si>
    <r>
      <rPr>
        <b/>
        <sz val="11"/>
        <color rgb="FF00ABC5"/>
        <rFont val="Aptos Narrow"/>
        <family val="2"/>
        <scheme val="minor"/>
      </rPr>
      <t>6. Financials - wastewater</t>
    </r>
    <r>
      <rPr>
        <sz val="11"/>
        <color rgb="FF000000"/>
        <rFont val="Aptos Narrow"/>
        <family val="2"/>
        <scheme val="minor"/>
      </rPr>
      <t xml:space="preserve"> - this sheet is to assist with the presentation of projected financial statements for wastewater.</t>
    </r>
  </si>
  <si>
    <r>
      <rPr>
        <b/>
        <sz val="11"/>
        <color rgb="FF00ABC5"/>
        <rFont val="Aptos Narrow"/>
        <family val="2"/>
        <scheme val="minor"/>
      </rPr>
      <t>7. Financials - stormwater</t>
    </r>
    <r>
      <rPr>
        <sz val="11"/>
        <color rgb="FF000000"/>
        <rFont val="Aptos Narrow"/>
        <family val="2"/>
        <scheme val="minor"/>
      </rPr>
      <t xml:space="preserve"> - this sheet is to assist with the presentation of projected financial statements for stormwater.</t>
    </r>
  </si>
  <si>
    <t>The Department can prepare a version of this template populated with publicly available council data, upon request</t>
  </si>
  <si>
    <t>Upon request, the Department can provide councils with an updated version of this financial template which is populated with publicly available council financial information (for example, from 2024-34 Long Term Plans). To request a populated template, please email wsdp@dia.govt.nz.</t>
  </si>
  <si>
    <t>FINANCIAL SUSTAINABILITY CHARTS</t>
  </si>
  <si>
    <t>Projected council net debt to operating revenue</t>
  </si>
  <si>
    <t>Total operating revenue ($m)</t>
  </si>
  <si>
    <t>Net debt ($m)</t>
  </si>
  <si>
    <t>Debt headroom to limit ($m)</t>
  </si>
  <si>
    <t>Net debt to operating revenue (%)</t>
  </si>
  <si>
    <t>Borrowing limit (%)</t>
  </si>
  <si>
    <t>Projected water services net debt to operating revenue</t>
  </si>
  <si>
    <t>Water borrowing limit (%)</t>
  </si>
  <si>
    <t>Council borrowing limit (%)</t>
  </si>
  <si>
    <t>Projected water services investment requirements</t>
  </si>
  <si>
    <t>To replace existing assets ($m)</t>
  </si>
  <si>
    <t>To improve levels of service ($m)</t>
  </si>
  <si>
    <t>To meet additional demand ($m)</t>
  </si>
  <si>
    <t>Depreciation ($m)</t>
  </si>
  <si>
    <t>Free funds from operations (FFO) to debt ratio</t>
  </si>
  <si>
    <t>Total net debt</t>
  </si>
  <si>
    <t>Funds from operations</t>
  </si>
  <si>
    <t>FFO to debt ratio</t>
  </si>
  <si>
    <t>Projected water services debt headroom (FFO)</t>
  </si>
  <si>
    <t>Water services FFO covenant (LGFA)</t>
  </si>
  <si>
    <t>Free funds from operations (LGFA)</t>
  </si>
  <si>
    <t>Net debt ($000)</t>
  </si>
  <si>
    <t>Debt headroom to FFO covenant ($000s)</t>
  </si>
  <si>
    <t>Projected water services revenue and expenses</t>
  </si>
  <si>
    <t>Expenses (excl. depn, interest) ($m)</t>
  </si>
  <si>
    <t>Interest costs ($m)</t>
  </si>
  <si>
    <t>Operating revenue ($m)</t>
  </si>
  <si>
    <t>Net operating surplus/(deficit) ($m)</t>
  </si>
  <si>
    <t>Sustainability measures: Revenue sufficiency</t>
  </si>
  <si>
    <t>Average charge per connection including GST</t>
  </si>
  <si>
    <t>Average drinking water bill (including GST)</t>
  </si>
  <si>
    <t>Average wastewater bill (including GST)</t>
  </si>
  <si>
    <t>Average stormwater bill (including GST)</t>
  </si>
  <si>
    <t>Projected increase</t>
  </si>
  <si>
    <t>Projected number of connections</t>
  </si>
  <si>
    <t>Projected median household income</t>
  </si>
  <si>
    <t>Water services charges as % of household income</t>
  </si>
  <si>
    <t>Rates revenue</t>
  </si>
  <si>
    <t>Total</t>
  </si>
  <si>
    <t>General and targeted rates</t>
  </si>
  <si>
    <t>Operating surplus ratio</t>
  </si>
  <si>
    <t>Operating surplus/(deficit) excluding capital revenues</t>
  </si>
  <si>
    <t>Total operating revenue</t>
  </si>
  <si>
    <t>Operating cash ratio</t>
  </si>
  <si>
    <t>Operating surplus/(deficit) + depreciation + interest  costs - capital revenue</t>
  </si>
  <si>
    <t>Sustainability measures: Investment sufficiency</t>
  </si>
  <si>
    <t>Asset sustainability ratio</t>
  </si>
  <si>
    <t>Capital expenditure on renewals</t>
  </si>
  <si>
    <t>Depreciation</t>
  </si>
  <si>
    <t>Asset investment ratio</t>
  </si>
  <si>
    <t>Capital expenditure</t>
  </si>
  <si>
    <t>Asset consumption ratio</t>
  </si>
  <si>
    <t>Book value of infrastructure assets</t>
  </si>
  <si>
    <t>Total estimated replacement value of infrastructure assets</t>
  </si>
  <si>
    <t>Sustainability measures: Financing sufficiency</t>
  </si>
  <si>
    <t>Net debt</t>
  </si>
  <si>
    <t>Total borrowings</t>
  </si>
  <si>
    <t>Less: cash and financial assets</t>
  </si>
  <si>
    <t>Net debt to operating revenue</t>
  </si>
  <si>
    <t>Total net debt (gross debt less cash)</t>
  </si>
  <si>
    <t>Operating revenue</t>
  </si>
  <si>
    <t>Borrowings headroom/(shortfall) against limit</t>
  </si>
  <si>
    <t>Debt to revenue limit</t>
  </si>
  <si>
    <t>Maximum allowable net debt</t>
  </si>
  <si>
    <t>Borrowing headroom/ (shortfall) against limit</t>
  </si>
  <si>
    <t>Operating revenue (plus 50% DCs minus interest income)</t>
  </si>
  <si>
    <t>Less Expenses (minus depreciation and non-cash items)</t>
  </si>
  <si>
    <t>Free funds from operations</t>
  </si>
  <si>
    <t>Interest coverage ratio</t>
  </si>
  <si>
    <t>Cash interest</t>
  </si>
  <si>
    <t>Projected investment in water services</t>
  </si>
  <si>
    <t>Capital expenditure - to meet additional demand</t>
  </si>
  <si>
    <t>Capital expenditure - to improve levels of services</t>
  </si>
  <si>
    <t>Capital expenditure - to replace existing assets</t>
  </si>
  <si>
    <t>Total projected investment for drinking water</t>
  </si>
  <si>
    <t>Total projected investment for wastewater</t>
  </si>
  <si>
    <t>Total projected investment for stormwater</t>
  </si>
  <si>
    <t>Total projected investment in water services</t>
  </si>
  <si>
    <t>Delivery against planned investment</t>
  </si>
  <si>
    <t>Renewals investment for water services</t>
  </si>
  <si>
    <t>Total Investment in water services</t>
  </si>
  <si>
    <t>FY2024/25</t>
  </si>
  <si>
    <t>FY21/22 - FY23/24</t>
  </si>
  <si>
    <t xml:space="preserve">FY18/19 - FY20/21 </t>
  </si>
  <si>
    <t xml:space="preserve">Total planned investment (set in the relevant LTP) </t>
  </si>
  <si>
    <t>Total actual investment</t>
  </si>
  <si>
    <t>Delivery against planned investment (%)</t>
  </si>
  <si>
    <t>Significant capital projects - drinking water</t>
  </si>
  <si>
    <t>Projects to meet additional demand</t>
  </si>
  <si>
    <t>Total investment to meet additional demand</t>
  </si>
  <si>
    <t>Projects to improve levels of services</t>
  </si>
  <si>
    <t>Total investment to improve levels of services</t>
  </si>
  <si>
    <t>Projects to replace existing assets</t>
  </si>
  <si>
    <t>Total investment to replace existing assets</t>
  </si>
  <si>
    <t>Total investment in drinking water assets</t>
  </si>
  <si>
    <t>Significant capital projects - wastewater</t>
  </si>
  <si>
    <t>Total investment in wastewater assets</t>
  </si>
  <si>
    <t>Significant capital projects - stormwater</t>
  </si>
  <si>
    <t>Total investment in stormwater assets</t>
  </si>
  <si>
    <t>Funding impact statement ($000)</t>
  </si>
  <si>
    <t>Sources of operating funding</t>
  </si>
  <si>
    <t>General rates</t>
  </si>
  <si>
    <t>Targeted rates</t>
  </si>
  <si>
    <t>Subsidies and grants for operating purposes</t>
  </si>
  <si>
    <t>Local authorities fuel tax, fines, infringement fees and other receipts</t>
  </si>
  <si>
    <t>Fees and charges</t>
  </si>
  <si>
    <t>Total operating funding</t>
  </si>
  <si>
    <t>Applications of operating funding</t>
  </si>
  <si>
    <t>Payments to staff and suppliers</t>
  </si>
  <si>
    <t>Finance costs</t>
  </si>
  <si>
    <t>Internal charges and overheads applied</t>
  </si>
  <si>
    <t>Other operating funding applications</t>
  </si>
  <si>
    <t>Total applications of operating funding</t>
  </si>
  <si>
    <t>Surplus/(deficit) of operating funding</t>
  </si>
  <si>
    <t>Sources of capital funding</t>
  </si>
  <si>
    <t>Subsidies and grants for capital expenditure</t>
  </si>
  <si>
    <t>Development and financial contributions</t>
  </si>
  <si>
    <t>Increase/(decrease) in debt</t>
  </si>
  <si>
    <t>Gross proceeds from sales of assets</t>
  </si>
  <si>
    <t>Other dedicated capital funding</t>
  </si>
  <si>
    <t>Total sources of capital funding</t>
  </si>
  <si>
    <t>Applications of capital funding</t>
  </si>
  <si>
    <t>Increase/(decrease) in reserves</t>
  </si>
  <si>
    <t>Increase/(decrease) in investments</t>
  </si>
  <si>
    <t>Total applications of capital funding</t>
  </si>
  <si>
    <t>Surplus/(deficit) of capital funding</t>
  </si>
  <si>
    <t>Funding balance</t>
  </si>
  <si>
    <t>Statement of comprehensive revenue and expense ($000)</t>
  </si>
  <si>
    <t>Other revenue</t>
  </si>
  <si>
    <t>Total revenue</t>
  </si>
  <si>
    <t>Operating expenses</t>
  </si>
  <si>
    <t>Overheads and support costs</t>
  </si>
  <si>
    <t>Depreciation &amp; amortisation</t>
  </si>
  <si>
    <t>Total expenses</t>
  </si>
  <si>
    <t>Net surplus / (deficit)</t>
  </si>
  <si>
    <t>Revaluation of infrastructure assets</t>
  </si>
  <si>
    <t>Total comprehensive income</t>
  </si>
  <si>
    <t>Cash surplus / (deficit) from operations (excl depreciation)</t>
  </si>
  <si>
    <t>Statement of cashflows ($000)</t>
  </si>
  <si>
    <t>Cashflows from operating activities</t>
  </si>
  <si>
    <t>Cash surplus / (deficit) from operations</t>
  </si>
  <si>
    <t>[other items]</t>
  </si>
  <si>
    <t>Net cashflows from operating activities</t>
  </si>
  <si>
    <t>Cashflows from investment activities</t>
  </si>
  <si>
    <t>Net cashflows from investment activities</t>
  </si>
  <si>
    <t>Cashflows from financing activities</t>
  </si>
  <si>
    <t>New borrowings</t>
  </si>
  <si>
    <t>Repayment of borrowings</t>
  </si>
  <si>
    <t>Net cashflows from financing activities</t>
  </si>
  <si>
    <t>Net increase/(decrease) in cash and cash equivalents</t>
  </si>
  <si>
    <t>Cash and cash equivalents at beginning of year</t>
  </si>
  <si>
    <t>Cash and cash equivalents at end of year</t>
  </si>
  <si>
    <t>Statement of financial position ($000)</t>
  </si>
  <si>
    <t>Assets</t>
  </si>
  <si>
    <t>Cash and cash equivalents</t>
  </si>
  <si>
    <t>Other current assets</t>
  </si>
  <si>
    <t>Infrastructure assets</t>
  </si>
  <si>
    <t>Other non-current assets</t>
  </si>
  <si>
    <t>Total assets</t>
  </si>
  <si>
    <t>Liabilities</t>
  </si>
  <si>
    <t>Borrowings - current portion</t>
  </si>
  <si>
    <t>Other current liabilities</t>
  </si>
  <si>
    <t>Borrowings - non-current portion</t>
  </si>
  <si>
    <t>Other non-current liabilities</t>
  </si>
  <si>
    <t>Total liabilities</t>
  </si>
  <si>
    <t>Net assets</t>
  </si>
  <si>
    <t>Equity</t>
  </si>
  <si>
    <t>Revaluation reserve</t>
  </si>
  <si>
    <t>Other reserves</t>
  </si>
  <si>
    <t>Total equity</t>
  </si>
  <si>
    <t>Frederick St WTP - PH correction upgrade</t>
  </si>
  <si>
    <t>Nitrate management - Kaip upgrade</t>
  </si>
  <si>
    <t>Network renewal and replacement</t>
  </si>
  <si>
    <t>Backflow devices upgrade</t>
  </si>
  <si>
    <t>WWTP headworks upgrade</t>
  </si>
  <si>
    <t>Stormwater discharge consent renewal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</si>
</sst>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_ ;[Red]\(#,##0\)"/>
    <numFmt numFmtId="165" formatCode="0.0%"/>
    <numFmt numFmtId="166" formatCode="#,##0%\ ;\(#,##0%\)"/>
    <numFmt numFmtId="167" formatCode="#,##0.0_ ;[Red]\(#,##0.0\)"/>
    <numFmt numFmtId="168" formatCode="#,##0.0%\ ;\(#,##0.0%\)"/>
    <numFmt numFmtId="169" formatCode="#,##0.00\ ;\(#,##0.00\)"/>
    <numFmt numFmtId="170" formatCode="#,##0\ ;\(#,##0\)"/>
    <numFmt numFmtId="171" formatCode="0.0%;[Red]\(0.0%\)"/>
    <numFmt numFmtId="172" formatCode="0%;[Red]\(0%\)"/>
  </numFmts>
  <fonts count="30">
    <font>
      <sz val="11"/>
      <color theme="1"/>
      <name val="Aptos Narrow"/>
      <family val="2"/>
      <scheme val="minor"/>
    </font>
    <font>
      <sz val="11"/>
      <color theme="1"/>
      <name val="Aptos Narrow"/>
      <family val="2"/>
      <scheme val="minor"/>
    </font>
    <font>
      <b/>
      <sz val="11"/>
      <color theme="1"/>
      <name val="Aptos Narrow"/>
      <family val="2"/>
      <scheme val="minor"/>
    </font>
    <font>
      <b/>
      <sz val="8"/>
      <color rgb="FFFFFFFF"/>
      <name val="Calibri"/>
      <family val="2"/>
    </font>
    <font>
      <sz val="8"/>
      <color theme="1"/>
      <name val="Aptos Narrow"/>
      <family val="2"/>
      <scheme val="minor"/>
    </font>
    <font>
      <sz val="8"/>
      <color rgb="FF000000"/>
      <name val="Calibri"/>
      <family val="2"/>
    </font>
    <font>
      <sz val="8"/>
      <name val="Calibri"/>
      <family val="2"/>
    </font>
    <font>
      <sz val="10"/>
      <color theme="1"/>
      <name val="Aptos Narrow"/>
      <family val="2"/>
      <scheme val="minor"/>
    </font>
    <font>
      <b/>
      <sz val="20"/>
      <color rgb="FFFFFFFF"/>
      <name val="Aptos Narrow"/>
      <family val="2"/>
      <scheme val="minor"/>
    </font>
    <font>
      <sz val="14"/>
      <color theme="1"/>
      <name val="Aptos Narrow"/>
      <family val="2"/>
      <scheme val="minor"/>
    </font>
    <font>
      <b/>
      <sz val="11"/>
      <color rgb="FFFFFFFF"/>
      <name val="Aptos Narrow"/>
      <family val="2"/>
      <scheme val="minor"/>
    </font>
    <font>
      <b/>
      <i/>
      <sz val="11"/>
      <color rgb="FF00ABC5"/>
      <name val="Aptos Narrow"/>
      <family val="2"/>
      <scheme val="minor"/>
    </font>
    <font>
      <b/>
      <sz val="11"/>
      <color rgb="FF0070C0"/>
      <name val="Aptos Narrow"/>
      <family val="2"/>
      <scheme val="minor"/>
    </font>
    <font>
      <b/>
      <sz val="11"/>
      <color rgb="FF00ABC5"/>
      <name val="Aptos Narrow"/>
      <family val="2"/>
      <scheme val="minor"/>
    </font>
    <font>
      <sz val="11"/>
      <color rgb="FF000000"/>
      <name val="Aptos Narrow"/>
      <family val="2"/>
      <scheme val="minor"/>
    </font>
    <font>
      <i/>
      <sz val="11"/>
      <color rgb="FF000000"/>
      <name val="Aptos Narrow"/>
      <family val="2"/>
      <scheme val="minor"/>
    </font>
    <font>
      <sz val="11"/>
      <color rgb="FF0070C0"/>
      <name val="Aptos Narrow"/>
      <family val="2"/>
      <scheme val="minor"/>
    </font>
    <font>
      <sz val="11"/>
      <name val="Aptos Narrow"/>
      <family val="2"/>
      <scheme val="minor"/>
    </font>
    <font>
      <b/>
      <sz val="8"/>
      <color rgb="FFFFFFFF"/>
      <name val="Aptos "/>
    </font>
    <font>
      <sz val="8"/>
      <color theme="1"/>
      <name val="Aptos "/>
    </font>
    <font>
      <b/>
      <sz val="8"/>
      <color rgb="FF000000"/>
      <name val="Aptos "/>
    </font>
    <font>
      <sz val="8"/>
      <color rgb="FF000000"/>
      <name val="Aptos "/>
    </font>
    <font>
      <sz val="8"/>
      <name val="Aptos "/>
    </font>
    <font>
      <b/>
      <sz val="8"/>
      <color rgb="FF000000"/>
      <name val="Calibri"/>
      <family val="2"/>
    </font>
    <font>
      <sz val="8"/>
      <name val="Aptos Narrow"/>
      <family val="2"/>
      <scheme val="minor"/>
    </font>
    <font>
      <b/>
      <sz val="8"/>
      <color rgb="FF000000"/>
      <name val="Aptos Narrow"/>
      <family val="2"/>
      <scheme val="minor"/>
    </font>
    <font>
      <b/>
      <sz val="8"/>
      <color theme="0"/>
      <name val="Aptos Narrow"/>
      <family val="2"/>
      <scheme val="minor"/>
    </font>
    <font>
      <b/>
      <sz val="8"/>
      <color theme="0"/>
      <name val="Calibri"/>
      <family val="2"/>
    </font>
    <font>
      <sz val="8"/>
      <color rgb="FF000000"/>
      <name val="Aptos Narrow"/>
      <family val="2"/>
      <scheme val="minor"/>
    </font>
    <font>
      <sz val="8"/>
      <color theme="1"/>
      <name val="Calibri"/>
      <family val="2"/>
    </font>
  </fonts>
  <fills count="11">
    <fill>
      <patternFill patternType="none"/>
    </fill>
    <fill>
      <patternFill patternType="gray125"/>
    </fill>
    <fill>
      <patternFill patternType="solid">
        <fgColor rgb="FF7030A0"/>
        <bgColor indexed="64"/>
      </patternFill>
    </fill>
    <fill>
      <patternFill patternType="solid">
        <fgColor rgb="FFF1E8F8"/>
        <bgColor indexed="64"/>
      </patternFill>
    </fill>
    <fill>
      <patternFill patternType="solid">
        <fgColor rgb="FFDBECEC"/>
        <bgColor indexed="64"/>
      </patternFill>
    </fill>
    <fill>
      <patternFill patternType="solid">
        <fgColor theme="5" tint="0.79998168889431442"/>
        <bgColor indexed="64"/>
      </patternFill>
    </fill>
    <fill>
      <patternFill patternType="solid">
        <fgColor rgb="FFFBE2D5"/>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
      <patternFill patternType="solid">
        <fgColor rgb="FFF2F2F2"/>
        <bgColor indexed="64"/>
      </patternFill>
    </fill>
  </fills>
  <borders count="19">
    <border>
      <left/>
      <right/>
      <top/>
      <bottom/>
      <diagonal/>
    </border>
    <border>
      <left style="medium">
        <color rgb="FF7030A0"/>
      </left>
      <right/>
      <top/>
      <bottom/>
      <diagonal/>
    </border>
    <border>
      <left style="medium">
        <color rgb="FF7030A0"/>
      </left>
      <right style="medium">
        <color rgb="FF7030A0"/>
      </right>
      <top style="medium">
        <color rgb="FF7030A0"/>
      </top>
      <bottom style="medium">
        <color rgb="FF7030A0"/>
      </bottom>
      <diagonal/>
    </border>
    <border>
      <left style="medium">
        <color rgb="FF7030A0"/>
      </left>
      <right/>
      <top style="medium">
        <color rgb="FF7030A0"/>
      </top>
      <bottom/>
      <diagonal/>
    </border>
    <border>
      <left style="thick">
        <color rgb="FF7030A0"/>
      </left>
      <right/>
      <top style="medium">
        <color rgb="FF7030A0"/>
      </top>
      <bottom/>
      <diagonal/>
    </border>
    <border>
      <left/>
      <right style="thick">
        <color rgb="FF7030A0"/>
      </right>
      <top style="medium">
        <color rgb="FF7030A0"/>
      </top>
      <bottom/>
      <diagonal/>
    </border>
    <border>
      <left/>
      <right style="medium">
        <color rgb="FF7030A0"/>
      </right>
      <top style="medium">
        <color rgb="FF7030A0"/>
      </top>
      <bottom/>
      <diagonal/>
    </border>
    <border>
      <left style="thick">
        <color rgb="FF7030A0"/>
      </left>
      <right/>
      <top style="thick">
        <color rgb="FF7030A0"/>
      </top>
      <bottom/>
      <diagonal/>
    </border>
    <border>
      <left/>
      <right style="thick">
        <color rgb="FF7030A0"/>
      </right>
      <top style="thick">
        <color rgb="FF7030A0"/>
      </top>
      <bottom/>
      <diagonal/>
    </border>
    <border>
      <left/>
      <right style="medium">
        <color rgb="FF7030A0"/>
      </right>
      <top/>
      <bottom/>
      <diagonal/>
    </border>
    <border>
      <left style="thick">
        <color rgb="FF7030A0"/>
      </left>
      <right/>
      <top/>
      <bottom/>
      <diagonal/>
    </border>
    <border>
      <left/>
      <right style="thick">
        <color rgb="FF7030A0"/>
      </right>
      <top/>
      <bottom/>
      <diagonal/>
    </border>
    <border>
      <left style="thick">
        <color rgb="FF7030A0"/>
      </left>
      <right/>
      <top/>
      <bottom style="thick">
        <color rgb="FF7030A0"/>
      </bottom>
      <diagonal/>
    </border>
    <border>
      <left/>
      <right style="thick">
        <color rgb="FF7030A0"/>
      </right>
      <top/>
      <bottom style="thick">
        <color rgb="FF7030A0"/>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top style="medium">
        <color rgb="FF7030A0"/>
      </top>
      <bottom/>
      <diagonal/>
    </border>
    <border>
      <left/>
      <right/>
      <top style="medium">
        <color rgb="FF7030A0"/>
      </top>
      <bottom style="medium">
        <color rgb="FF7030A0"/>
      </bottom>
      <diagonal/>
    </border>
  </borders>
  <cellStyleXfs count="5">
    <xf numFmtId="0" fontId="0" fillId="0" borderId="0"/>
    <xf numFmtId="169" fontId="7" fillId="0" borderId="0" applyFont="0" applyFill="0" applyBorder="0" applyProtection="0"/>
    <xf numFmtId="166" fontId="7" fillId="0" borderId="0" applyFont="0" applyFill="0" applyBorder="0" applyProtection="0"/>
    <xf numFmtId="0" fontId="1" fillId="0" borderId="0"/>
    <xf numFmtId="9" fontId="1" fillId="0" borderId="0" applyFont="0" applyFill="0" applyBorder="0" applyAlignment="0" applyProtection="0"/>
  </cellStyleXfs>
  <cellXfs count="120">
    <xf numFmtId="0" fontId="0" fillId="0" borderId="0" xfId="0"/>
    <xf numFmtId="0" fontId="4" fillId="0" borderId="0" xfId="3" applyFont="1"/>
    <xf numFmtId="0" fontId="4" fillId="0" borderId="0" xfId="3" quotePrefix="1" applyFont="1"/>
    <xf numFmtId="0" fontId="5" fillId="3" borderId="2" xfId="3" applyFont="1" applyFill="1" applyBorder="1" applyAlignment="1">
      <alignment horizontal="left" vertical="center" wrapText="1" readingOrder="1"/>
    </xf>
    <xf numFmtId="0" fontId="5" fillId="3" borderId="2" xfId="3" applyFont="1" applyFill="1" applyBorder="1" applyAlignment="1">
      <alignment horizontal="center" vertical="center" wrapText="1" readingOrder="1"/>
    </xf>
    <xf numFmtId="0" fontId="5" fillId="0" borderId="2" xfId="3" applyFont="1" applyBorder="1" applyAlignment="1">
      <alignment horizontal="left" vertical="center" wrapText="1" readingOrder="1"/>
    </xf>
    <xf numFmtId="164" fontId="6" fillId="4" borderId="2" xfId="3" applyNumberFormat="1" applyFont="1" applyFill="1" applyBorder="1" applyAlignment="1">
      <alignment vertical="center" wrapText="1"/>
    </xf>
    <xf numFmtId="165" fontId="6" fillId="4" borderId="2" xfId="4" applyNumberFormat="1" applyFont="1" applyFill="1" applyBorder="1" applyAlignment="1">
      <alignment vertical="center" wrapText="1"/>
    </xf>
    <xf numFmtId="9" fontId="6" fillId="4" borderId="2" xfId="4" applyFont="1" applyFill="1" applyBorder="1" applyAlignment="1">
      <alignment vertical="center" wrapText="1"/>
    </xf>
    <xf numFmtId="166" fontId="6" fillId="4" borderId="2" xfId="2" applyFont="1" applyFill="1" applyBorder="1"/>
    <xf numFmtId="164" fontId="6" fillId="6" borderId="2" xfId="3" applyNumberFormat="1" applyFont="1" applyFill="1" applyBorder="1" applyAlignment="1">
      <alignment vertical="center" wrapText="1"/>
    </xf>
    <xf numFmtId="0" fontId="5" fillId="7" borderId="2" xfId="3" applyFont="1" applyFill="1" applyBorder="1" applyAlignment="1">
      <alignment horizontal="left" vertical="center" wrapText="1" readingOrder="1"/>
    </xf>
    <xf numFmtId="164" fontId="6" fillId="8" borderId="2" xfId="3" applyNumberFormat="1" applyFont="1" applyFill="1" applyBorder="1" applyAlignment="1">
      <alignment vertical="center" wrapText="1"/>
    </xf>
    <xf numFmtId="0" fontId="1" fillId="2" borderId="3" xfId="3" applyFill="1" applyBorder="1" applyAlignment="1">
      <alignment vertical="top"/>
    </xf>
    <xf numFmtId="0" fontId="8" fillId="2" borderId="4" xfId="3" applyFont="1" applyFill="1" applyBorder="1" applyAlignment="1">
      <alignment vertical="top" readingOrder="1"/>
    </xf>
    <xf numFmtId="0" fontId="8" fillId="2" borderId="5" xfId="3" applyFont="1" applyFill="1" applyBorder="1" applyAlignment="1">
      <alignment vertical="top" readingOrder="1"/>
    </xf>
    <xf numFmtId="0" fontId="9" fillId="2" borderId="6" xfId="3" applyFont="1" applyFill="1" applyBorder="1" applyAlignment="1">
      <alignment vertical="top"/>
    </xf>
    <xf numFmtId="0" fontId="1" fillId="0" borderId="0" xfId="3" applyAlignment="1">
      <alignment vertical="top"/>
    </xf>
    <xf numFmtId="0" fontId="1" fillId="2" borderId="1" xfId="3" applyFill="1" applyBorder="1" applyAlignment="1">
      <alignment vertical="top"/>
    </xf>
    <xf numFmtId="0" fontId="1" fillId="9" borderId="7" xfId="3" applyFill="1" applyBorder="1" applyAlignment="1">
      <alignment vertical="top" wrapText="1"/>
    </xf>
    <xf numFmtId="0" fontId="1" fillId="9" borderId="8" xfId="3" applyFill="1" applyBorder="1" applyAlignment="1">
      <alignment vertical="top" wrapText="1"/>
    </xf>
    <xf numFmtId="0" fontId="1" fillId="2" borderId="9" xfId="3" applyFill="1" applyBorder="1" applyAlignment="1">
      <alignment vertical="top"/>
    </xf>
    <xf numFmtId="0" fontId="10" fillId="2" borderId="7" xfId="3" applyFont="1" applyFill="1" applyBorder="1" applyAlignment="1">
      <alignment vertical="top" readingOrder="1"/>
    </xf>
    <xf numFmtId="0" fontId="10" fillId="2" borderId="8" xfId="3" applyFont="1" applyFill="1" applyBorder="1" applyAlignment="1">
      <alignment vertical="top" readingOrder="1"/>
    </xf>
    <xf numFmtId="0" fontId="1" fillId="9" borderId="10" xfId="3" applyFill="1" applyBorder="1" applyAlignment="1">
      <alignment horizontal="left" vertical="top" wrapText="1"/>
    </xf>
    <xf numFmtId="0" fontId="1" fillId="9" borderId="11" xfId="3" applyFill="1" applyBorder="1" applyAlignment="1">
      <alignment horizontal="left" vertical="top" wrapText="1"/>
    </xf>
    <xf numFmtId="0" fontId="1" fillId="9" borderId="10" xfId="3" applyFill="1" applyBorder="1" applyAlignment="1">
      <alignment horizontal="left" vertical="top"/>
    </xf>
    <xf numFmtId="0" fontId="1" fillId="9" borderId="11" xfId="3" applyFill="1" applyBorder="1" applyAlignment="1">
      <alignment horizontal="left" vertical="top"/>
    </xf>
    <xf numFmtId="0" fontId="1" fillId="9" borderId="10" xfId="3" applyFill="1" applyBorder="1" applyAlignment="1">
      <alignment vertical="top" wrapText="1"/>
    </xf>
    <xf numFmtId="0" fontId="1" fillId="9" borderId="11" xfId="3" applyFill="1" applyBorder="1" applyAlignment="1">
      <alignment vertical="top" wrapText="1"/>
    </xf>
    <xf numFmtId="0" fontId="10" fillId="2" borderId="10" xfId="3" applyFont="1" applyFill="1" applyBorder="1" applyAlignment="1">
      <alignment vertical="top" readingOrder="1"/>
    </xf>
    <xf numFmtId="0" fontId="10" fillId="2" borderId="11" xfId="3" applyFont="1" applyFill="1" applyBorder="1" applyAlignment="1">
      <alignment vertical="top" readingOrder="1"/>
    </xf>
    <xf numFmtId="0" fontId="14" fillId="3" borderId="10" xfId="3" applyFont="1" applyFill="1" applyBorder="1" applyAlignment="1">
      <alignment horizontal="left" vertical="top" wrapText="1" readingOrder="1"/>
    </xf>
    <xf numFmtId="0" fontId="14" fillId="3" borderId="11" xfId="3" applyFont="1" applyFill="1" applyBorder="1" applyAlignment="1">
      <alignment horizontal="left" vertical="top" wrapText="1" readingOrder="1"/>
    </xf>
    <xf numFmtId="0" fontId="13" fillId="9" borderId="10" xfId="3" applyFont="1" applyFill="1" applyBorder="1" applyAlignment="1">
      <alignment vertical="top"/>
    </xf>
    <xf numFmtId="0" fontId="14" fillId="3" borderId="10" xfId="3" applyFont="1" applyFill="1" applyBorder="1" applyAlignment="1">
      <alignment horizontal="left" vertical="top" readingOrder="1"/>
    </xf>
    <xf numFmtId="0" fontId="14" fillId="3" borderId="11" xfId="3" applyFont="1" applyFill="1" applyBorder="1" applyAlignment="1">
      <alignment horizontal="left" vertical="top" readingOrder="1"/>
    </xf>
    <xf numFmtId="0" fontId="1" fillId="9" borderId="12" xfId="3" applyFill="1" applyBorder="1" applyAlignment="1">
      <alignment vertical="top" wrapText="1"/>
    </xf>
    <xf numFmtId="0" fontId="1" fillId="9" borderId="13" xfId="3" applyFill="1" applyBorder="1" applyAlignment="1">
      <alignment vertical="top" wrapText="1"/>
    </xf>
    <xf numFmtId="0" fontId="1" fillId="2" borderId="14" xfId="3" applyFill="1" applyBorder="1" applyAlignment="1">
      <alignment vertical="top"/>
    </xf>
    <xf numFmtId="0" fontId="1" fillId="2" borderId="15" xfId="3" applyFill="1" applyBorder="1" applyAlignment="1">
      <alignment vertical="top"/>
    </xf>
    <xf numFmtId="0" fontId="1" fillId="2" borderId="16" xfId="3" applyFill="1" applyBorder="1" applyAlignment="1">
      <alignment vertical="top"/>
    </xf>
    <xf numFmtId="0" fontId="18" fillId="2" borderId="0" xfId="3" applyFont="1" applyFill="1" applyAlignment="1">
      <alignment vertical="center" readingOrder="1"/>
    </xf>
    <xf numFmtId="0" fontId="18" fillId="2" borderId="0" xfId="3" applyFont="1" applyFill="1" applyAlignment="1">
      <alignment vertical="center" wrapText="1" readingOrder="1"/>
    </xf>
    <xf numFmtId="0" fontId="19" fillId="0" borderId="0" xfId="3" applyFont="1"/>
    <xf numFmtId="0" fontId="20" fillId="3" borderId="2" xfId="3" applyFont="1" applyFill="1" applyBorder="1" applyAlignment="1">
      <alignment horizontal="left" vertical="center" wrapText="1" readingOrder="1"/>
    </xf>
    <xf numFmtId="0" fontId="21" fillId="0" borderId="2" xfId="3" applyFont="1" applyBorder="1" applyAlignment="1">
      <alignment horizontal="left" vertical="center" wrapText="1" readingOrder="1"/>
    </xf>
    <xf numFmtId="167" fontId="6" fillId="0" borderId="2" xfId="4" applyNumberFormat="1" applyFont="1" applyBorder="1" applyAlignment="1">
      <alignment vertical="center" wrapText="1"/>
    </xf>
    <xf numFmtId="166" fontId="19" fillId="0" borderId="0" xfId="2" applyFont="1"/>
    <xf numFmtId="0" fontId="21" fillId="7" borderId="2" xfId="3" applyFont="1" applyFill="1" applyBorder="1" applyAlignment="1">
      <alignment horizontal="left" vertical="center" wrapText="1" readingOrder="1"/>
    </xf>
    <xf numFmtId="167" fontId="6" fillId="7" borderId="2" xfId="4" applyNumberFormat="1" applyFont="1" applyFill="1" applyBorder="1" applyAlignment="1">
      <alignment vertical="center" wrapText="1"/>
    </xf>
    <xf numFmtId="9" fontId="22" fillId="7" borderId="2" xfId="4" applyFont="1" applyFill="1" applyBorder="1" applyAlignment="1">
      <alignment vertical="center" wrapText="1"/>
    </xf>
    <xf numFmtId="166" fontId="22" fillId="0" borderId="2" xfId="2" applyFont="1" applyFill="1" applyBorder="1"/>
    <xf numFmtId="0" fontId="21" fillId="0" borderId="2" xfId="3" applyFont="1" applyBorder="1" applyAlignment="1">
      <alignment horizontal="left" vertical="center" readingOrder="1"/>
    </xf>
    <xf numFmtId="9" fontId="22" fillId="0" borderId="2" xfId="4" applyFont="1" applyFill="1" applyBorder="1" applyAlignment="1">
      <alignment vertical="center" wrapText="1"/>
    </xf>
    <xf numFmtId="0" fontId="21" fillId="0" borderId="0" xfId="3" applyFont="1" applyAlignment="1">
      <alignment horizontal="left" vertical="center" wrapText="1" readingOrder="1"/>
    </xf>
    <xf numFmtId="9" fontId="22" fillId="0" borderId="0" xfId="4" applyFont="1" applyFill="1" applyBorder="1" applyAlignment="1">
      <alignment vertical="center" wrapText="1"/>
    </xf>
    <xf numFmtId="167" fontId="6" fillId="0" borderId="2" xfId="4" applyNumberFormat="1" applyFont="1" applyFill="1" applyBorder="1" applyAlignment="1">
      <alignment vertical="center" wrapText="1"/>
    </xf>
    <xf numFmtId="168" fontId="6" fillId="7" borderId="2" xfId="2" applyNumberFormat="1" applyFont="1" applyFill="1" applyBorder="1"/>
    <xf numFmtId="168" fontId="6" fillId="0" borderId="2" xfId="2" applyNumberFormat="1" applyFont="1" applyBorder="1"/>
    <xf numFmtId="164" fontId="6" fillId="0" borderId="2" xfId="4" applyNumberFormat="1" applyFont="1" applyBorder="1" applyAlignment="1">
      <alignment vertical="center" wrapText="1"/>
    </xf>
    <xf numFmtId="164" fontId="6" fillId="0" borderId="2" xfId="4" applyNumberFormat="1" applyFont="1" applyFill="1" applyBorder="1" applyAlignment="1">
      <alignment vertical="center" wrapText="1"/>
    </xf>
    <xf numFmtId="170" fontId="6" fillId="0" borderId="2" xfId="1" applyNumberFormat="1" applyFont="1" applyFill="1" applyBorder="1"/>
    <xf numFmtId="0" fontId="20" fillId="7" borderId="2" xfId="3" applyFont="1" applyFill="1" applyBorder="1" applyAlignment="1">
      <alignment horizontal="left" vertical="center" wrapText="1" readingOrder="1"/>
    </xf>
    <xf numFmtId="170" fontId="6" fillId="7" borderId="2" xfId="1" applyNumberFormat="1" applyFont="1" applyFill="1" applyBorder="1"/>
    <xf numFmtId="167" fontId="22" fillId="0" borderId="2" xfId="3" applyNumberFormat="1" applyFont="1" applyBorder="1" applyAlignment="1">
      <alignment vertical="center" wrapText="1"/>
    </xf>
    <xf numFmtId="167" fontId="22" fillId="7" borderId="2" xfId="3" applyNumberFormat="1" applyFont="1" applyFill="1" applyBorder="1" applyAlignment="1">
      <alignment vertical="center" wrapText="1"/>
    </xf>
    <xf numFmtId="0" fontId="3" fillId="2" borderId="0" xfId="3" applyFont="1" applyFill="1" applyAlignment="1">
      <alignment vertical="center" wrapText="1" readingOrder="1"/>
    </xf>
    <xf numFmtId="0" fontId="23" fillId="0" borderId="0" xfId="3" applyFont="1" applyAlignment="1">
      <alignment horizontal="left" vertical="center" wrapText="1" readingOrder="1"/>
    </xf>
    <xf numFmtId="166" fontId="4" fillId="0" borderId="0" xfId="2" applyFont="1" applyFill="1"/>
    <xf numFmtId="164" fontId="6" fillId="8" borderId="2" xfId="4" applyNumberFormat="1" applyFont="1" applyFill="1" applyBorder="1" applyAlignment="1">
      <alignment vertical="center" wrapText="1"/>
    </xf>
    <xf numFmtId="165" fontId="6" fillId="0" borderId="2" xfId="4" applyNumberFormat="1" applyFont="1" applyFill="1" applyBorder="1" applyAlignment="1">
      <alignment vertical="center" wrapText="1"/>
    </xf>
    <xf numFmtId="0" fontId="5" fillId="0" borderId="0" xfId="3" applyFont="1" applyAlignment="1">
      <alignment horizontal="left" vertical="center" wrapText="1" readingOrder="1"/>
    </xf>
    <xf numFmtId="171" fontId="6" fillId="8" borderId="2" xfId="4" applyNumberFormat="1" applyFont="1" applyFill="1" applyBorder="1" applyAlignment="1">
      <alignment vertical="center" wrapText="1"/>
    </xf>
    <xf numFmtId="164" fontId="6" fillId="10" borderId="2" xfId="4" applyNumberFormat="1" applyFont="1" applyFill="1" applyBorder="1" applyAlignment="1">
      <alignment vertical="center" wrapText="1"/>
    </xf>
    <xf numFmtId="171" fontId="6" fillId="7" borderId="2" xfId="4" applyNumberFormat="1" applyFont="1" applyFill="1" applyBorder="1" applyAlignment="1">
      <alignment vertical="center" wrapText="1"/>
    </xf>
    <xf numFmtId="0" fontId="5" fillId="0" borderId="17" xfId="3" applyFont="1" applyBorder="1" applyAlignment="1">
      <alignment horizontal="left" vertical="center" wrapText="1" readingOrder="1"/>
    </xf>
    <xf numFmtId="164" fontId="4" fillId="0" borderId="0" xfId="3" applyNumberFormat="1" applyFont="1"/>
    <xf numFmtId="171" fontId="4" fillId="0" borderId="0" xfId="3" applyNumberFormat="1" applyFont="1"/>
    <xf numFmtId="164" fontId="6" fillId="0" borderId="0" xfId="4" applyNumberFormat="1" applyFont="1" applyFill="1" applyBorder="1" applyAlignment="1">
      <alignment vertical="center" wrapText="1"/>
    </xf>
    <xf numFmtId="172" fontId="6" fillId="8" borderId="2" xfId="4" applyNumberFormat="1" applyFont="1" applyFill="1" applyBorder="1" applyAlignment="1">
      <alignment vertical="center" wrapText="1"/>
    </xf>
    <xf numFmtId="172" fontId="4" fillId="0" borderId="0" xfId="3" applyNumberFormat="1" applyFont="1"/>
    <xf numFmtId="172" fontId="6" fillId="0" borderId="2" xfId="4" applyNumberFormat="1" applyFont="1" applyFill="1" applyBorder="1" applyAlignment="1">
      <alignment vertical="center" wrapText="1"/>
    </xf>
    <xf numFmtId="0" fontId="24" fillId="0" borderId="0" xfId="3" applyFont="1"/>
    <xf numFmtId="0" fontId="23" fillId="0" borderId="15" xfId="3" applyFont="1" applyBorder="1" applyAlignment="1">
      <alignment horizontal="left" vertical="center" wrapText="1" readingOrder="1"/>
    </xf>
    <xf numFmtId="0" fontId="6" fillId="3" borderId="2" xfId="3" applyFont="1" applyFill="1" applyBorder="1" applyAlignment="1">
      <alignment horizontal="center" vertical="center" wrapText="1" readingOrder="1"/>
    </xf>
    <xf numFmtId="169" fontId="6" fillId="8" borderId="2" xfId="1" applyFont="1" applyFill="1" applyBorder="1"/>
    <xf numFmtId="169" fontId="4" fillId="0" borderId="0" xfId="1" applyFont="1"/>
    <xf numFmtId="0" fontId="25" fillId="0" borderId="0" xfId="3" applyFont="1" applyAlignment="1">
      <alignment horizontal="left" vertical="center" wrapText="1" readingOrder="1"/>
    </xf>
    <xf numFmtId="0" fontId="26" fillId="2" borderId="2" xfId="3" applyFont="1" applyFill="1" applyBorder="1" applyAlignment="1">
      <alignment horizontal="left" vertical="center" wrapText="1" readingOrder="1"/>
    </xf>
    <xf numFmtId="0" fontId="26" fillId="2" borderId="2" xfId="3" applyFont="1" applyFill="1" applyBorder="1" applyAlignment="1">
      <alignment horizontal="center" vertical="center" wrapText="1" readingOrder="1"/>
    </xf>
    <xf numFmtId="0" fontId="27" fillId="2" borderId="2" xfId="3" applyFont="1" applyFill="1" applyBorder="1" applyAlignment="1">
      <alignment horizontal="center" vertical="center" wrapText="1" readingOrder="1"/>
    </xf>
    <xf numFmtId="0" fontId="28" fillId="3" borderId="2" xfId="3" applyFont="1" applyFill="1" applyBorder="1" applyAlignment="1">
      <alignment horizontal="left" vertical="center" wrapText="1" readingOrder="1"/>
    </xf>
    <xf numFmtId="0" fontId="28" fillId="3" borderId="2" xfId="3" applyFont="1" applyFill="1" applyBorder="1" applyAlignment="1">
      <alignment horizontal="center" vertical="center" wrapText="1" readingOrder="1"/>
    </xf>
    <xf numFmtId="0" fontId="28" fillId="0" borderId="2" xfId="3" applyFont="1" applyBorder="1" applyAlignment="1">
      <alignment horizontal="left" vertical="center" wrapText="1" readingOrder="1"/>
    </xf>
    <xf numFmtId="164" fontId="24" fillId="0" borderId="2" xfId="4" applyNumberFormat="1" applyFont="1" applyFill="1" applyBorder="1" applyAlignment="1">
      <alignment vertical="center" wrapText="1"/>
    </xf>
    <xf numFmtId="0" fontId="28" fillId="7" borderId="2" xfId="3" applyFont="1" applyFill="1" applyBorder="1" applyAlignment="1">
      <alignment horizontal="left" vertical="center" wrapText="1" readingOrder="1"/>
    </xf>
    <xf numFmtId="164" fontId="24" fillId="8" borderId="2" xfId="4" applyNumberFormat="1" applyFont="1" applyFill="1" applyBorder="1" applyAlignment="1">
      <alignment vertical="center" wrapText="1"/>
    </xf>
    <xf numFmtId="0" fontId="26" fillId="2" borderId="0" xfId="3" applyFont="1" applyFill="1" applyAlignment="1">
      <alignment vertical="center" wrapText="1"/>
    </xf>
    <xf numFmtId="0" fontId="25" fillId="3" borderId="2" xfId="3" applyFont="1" applyFill="1" applyBorder="1" applyAlignment="1">
      <alignment horizontal="right" vertical="center" wrapText="1" readingOrder="1"/>
    </xf>
    <xf numFmtId="164" fontId="24" fillId="4" borderId="2" xfId="4" applyNumberFormat="1" applyFont="1" applyFill="1" applyBorder="1" applyAlignment="1">
      <alignment vertical="center" wrapText="1"/>
    </xf>
    <xf numFmtId="9" fontId="24" fillId="8" borderId="2" xfId="4" applyFont="1" applyFill="1" applyBorder="1" applyAlignment="1">
      <alignment vertical="center" wrapText="1"/>
    </xf>
    <xf numFmtId="0" fontId="28" fillId="5" borderId="2" xfId="3" applyFont="1" applyFill="1" applyBorder="1" applyAlignment="1">
      <alignment horizontal="left" vertical="center" wrapText="1" readingOrder="1"/>
    </xf>
    <xf numFmtId="164" fontId="24" fillId="5" borderId="2" xfId="4" applyNumberFormat="1" applyFont="1" applyFill="1" applyBorder="1" applyAlignment="1">
      <alignment vertical="center" wrapText="1"/>
    </xf>
    <xf numFmtId="0" fontId="27" fillId="2" borderId="2" xfId="3" applyFont="1" applyFill="1" applyBorder="1" applyAlignment="1">
      <alignment horizontal="left" vertical="center" wrapText="1" readingOrder="1"/>
    </xf>
    <xf numFmtId="0" fontId="29" fillId="0" borderId="0" xfId="3" applyFont="1"/>
    <xf numFmtId="0" fontId="23" fillId="3" borderId="2" xfId="3" applyFont="1" applyFill="1" applyBorder="1" applyAlignment="1">
      <alignment horizontal="left" vertical="center" wrapText="1" readingOrder="1"/>
    </xf>
    <xf numFmtId="164" fontId="6" fillId="0" borderId="2" xfId="3" applyNumberFormat="1" applyFont="1" applyBorder="1" applyAlignment="1">
      <alignment vertical="center" wrapText="1"/>
    </xf>
    <xf numFmtId="0" fontId="23" fillId="7" borderId="2" xfId="3" applyFont="1" applyFill="1" applyBorder="1" applyAlignment="1">
      <alignment horizontal="left" vertical="center" wrapText="1" readingOrder="1"/>
    </xf>
    <xf numFmtId="9" fontId="4" fillId="0" borderId="0" xfId="4" applyFont="1"/>
    <xf numFmtId="0" fontId="5" fillId="0" borderId="18" xfId="3" applyFont="1" applyBorder="1" applyAlignment="1">
      <alignment horizontal="left" vertical="center" wrapText="1" readingOrder="1"/>
    </xf>
    <xf numFmtId="0" fontId="23" fillId="0" borderId="18" xfId="3" applyFont="1" applyBorder="1" applyAlignment="1">
      <alignment horizontal="left" vertical="center" wrapText="1" readingOrder="1"/>
    </xf>
    <xf numFmtId="164" fontId="6" fillId="4" borderId="2" xfId="4" applyNumberFormat="1" applyFont="1" applyFill="1" applyBorder="1" applyAlignment="1">
      <alignment vertical="center" wrapText="1"/>
    </xf>
    <xf numFmtId="0" fontId="3" fillId="2" borderId="1" xfId="3" applyFont="1" applyFill="1" applyBorder="1" applyAlignment="1">
      <alignment horizontal="left" vertical="center" wrapText="1" readingOrder="1"/>
    </xf>
    <xf numFmtId="0" fontId="3" fillId="2" borderId="0" xfId="3" applyFont="1" applyFill="1" applyAlignment="1">
      <alignment horizontal="left" vertical="center" wrapText="1" readingOrder="1"/>
    </xf>
    <xf numFmtId="0" fontId="1" fillId="9" borderId="10" xfId="3" applyFill="1" applyBorder="1" applyAlignment="1">
      <alignment horizontal="left" vertical="top" wrapText="1"/>
    </xf>
    <xf numFmtId="0" fontId="1" fillId="9" borderId="11" xfId="3" applyFill="1" applyBorder="1" applyAlignment="1">
      <alignment horizontal="left" vertical="top" wrapText="1"/>
    </xf>
    <xf numFmtId="0" fontId="14" fillId="3" borderId="10" xfId="3" applyFont="1" applyFill="1" applyBorder="1" applyAlignment="1">
      <alignment horizontal="left" vertical="top" wrapText="1" readingOrder="1"/>
    </xf>
    <xf numFmtId="0" fontId="14" fillId="3" borderId="11" xfId="3" applyFont="1" applyFill="1" applyBorder="1" applyAlignment="1">
      <alignment horizontal="left" vertical="top" wrapText="1" readingOrder="1"/>
    </xf>
    <xf numFmtId="0" fontId="26" fillId="2" borderId="0" xfId="3" applyFont="1" applyFill="1" applyAlignment="1">
      <alignment horizontal="center" vertical="center" wrapText="1"/>
    </xf>
  </cellXfs>
  <cellStyles count="5">
    <cellStyle name="Comma" xfId="1" builtinId="3"/>
    <cellStyle name="Normal" xfId="0" builtinId="0"/>
    <cellStyle name="Normal 3" xfId="3" xr:uid="{625B4582-D2B7-4218-A7DF-71A28D3494AF}"/>
    <cellStyle name="Per cent 3" xfId="4" xr:uid="{027E88B8-3923-4E51-A238-0B43AEF42C8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sz="1000" b="1" i="0" u="none" strike="noStrike" kern="1200" spc="0" baseline="0">
                <a:solidFill>
                  <a:srgbClr val="00ABC5"/>
                </a:solidFill>
              </a:rPr>
              <a:t>Projected council net debt to operating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781299277788633"/>
          <c:y val="0.14861172931128766"/>
          <c:w val="0.75495431879187425"/>
          <c:h val="0.60512505609220379"/>
        </c:manualLayout>
      </c:layout>
      <c:barChart>
        <c:barDir val="col"/>
        <c:grouping val="stacked"/>
        <c:varyColors val="0"/>
        <c:ser>
          <c:idx val="1"/>
          <c:order val="1"/>
          <c:tx>
            <c:strRef>
              <c:f>'1. Charts'!$A$5</c:f>
              <c:strCache>
                <c:ptCount val="1"/>
                <c:pt idx="0">
                  <c:v>Net debt ($m)</c:v>
                </c:pt>
              </c:strCache>
            </c:strRef>
          </c:tx>
          <c:spPr>
            <a:solidFill>
              <a:srgbClr val="C8A5E3"/>
            </a:solidFill>
            <a:ln>
              <a:noFill/>
            </a:ln>
            <a:effectLst/>
          </c:spPr>
          <c:invertIfNegative val="0"/>
          <c:cat>
            <c:strRef>
              <c:f>'1. Charts'!$B$3:$K$3</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Charts'!$B$5:$K$5</c:f>
              <c:numCache>
                <c:formatCode>#,##0.0_ ;[Red]\(#,##0.0\)</c:formatCode>
                <c:ptCount val="10"/>
                <c:pt idx="0">
                  <c:v>13.697942999999999</c:v>
                </c:pt>
                <c:pt idx="1">
                  <c:v>15.088942999999999</c:v>
                </c:pt>
                <c:pt idx="2">
                  <c:v>15.533942999999999</c:v>
                </c:pt>
                <c:pt idx="3">
                  <c:v>18.114148000408917</c:v>
                </c:pt>
                <c:pt idx="4">
                  <c:v>19.723844970775527</c:v>
                </c:pt>
                <c:pt idx="5">
                  <c:v>20.332258315953261</c:v>
                </c:pt>
                <c:pt idx="6">
                  <c:v>21.442280485628274</c:v>
                </c:pt>
                <c:pt idx="7">
                  <c:v>20.157323320507491</c:v>
                </c:pt>
                <c:pt idx="8">
                  <c:v>19.500605672860306</c:v>
                </c:pt>
                <c:pt idx="9">
                  <c:v>17.880936929609931</c:v>
                </c:pt>
              </c:numCache>
            </c:numRef>
          </c:val>
          <c:extLst>
            <c:ext xmlns:c16="http://schemas.microsoft.com/office/drawing/2014/chart" uri="{C3380CC4-5D6E-409C-BE32-E72D297353CC}">
              <c16:uniqueId val="{00000000-151B-4C6B-820B-2CE9C0C05967}"/>
            </c:ext>
          </c:extLst>
        </c:ser>
        <c:ser>
          <c:idx val="2"/>
          <c:order val="2"/>
          <c:tx>
            <c:strRef>
              <c:f>'1. Charts'!$A$6</c:f>
              <c:strCache>
                <c:ptCount val="1"/>
                <c:pt idx="0">
                  <c:v>Debt headroom to limit ($m)</c:v>
                </c:pt>
              </c:strCache>
            </c:strRef>
          </c:tx>
          <c:spPr>
            <a:solidFill>
              <a:schemeClr val="bg1">
                <a:lumMod val="85000"/>
              </a:schemeClr>
            </a:solidFill>
            <a:ln>
              <a:noFill/>
            </a:ln>
            <a:effectLst/>
          </c:spPr>
          <c:invertIfNegative val="0"/>
          <c:cat>
            <c:strRef>
              <c:f>'1. Charts'!$B$3:$K$3</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Charts'!$B$6:$K$6</c:f>
              <c:numCache>
                <c:formatCode>#,##0.0_ ;[Red]\(#,##0.0\)</c:formatCode>
                <c:ptCount val="10"/>
                <c:pt idx="0">
                  <c:v>32.299057000000005</c:v>
                </c:pt>
                <c:pt idx="1">
                  <c:v>34.861306999999996</c:v>
                </c:pt>
                <c:pt idx="2">
                  <c:v>36.252057000000001</c:v>
                </c:pt>
                <c:pt idx="3">
                  <c:v>35.885454476779373</c:v>
                </c:pt>
                <c:pt idx="4">
                  <c:v>36.313940234371458</c:v>
                </c:pt>
                <c:pt idx="5">
                  <c:v>37.752229435983601</c:v>
                </c:pt>
                <c:pt idx="6">
                  <c:v>38.847562108862583</c:v>
                </c:pt>
                <c:pt idx="7">
                  <c:v>41.037406424229147</c:v>
                </c:pt>
                <c:pt idx="8">
                  <c:v>43.050829998195027</c:v>
                </c:pt>
                <c:pt idx="9">
                  <c:v>45.941177275520857</c:v>
                </c:pt>
              </c:numCache>
            </c:numRef>
          </c:val>
          <c:extLst>
            <c:ext xmlns:c16="http://schemas.microsoft.com/office/drawing/2014/chart" uri="{C3380CC4-5D6E-409C-BE32-E72D297353CC}">
              <c16:uniqueId val="{00000001-151B-4C6B-820B-2CE9C0C05967}"/>
            </c:ext>
          </c:extLst>
        </c:ser>
        <c:dLbls>
          <c:showLegendKey val="0"/>
          <c:showVal val="0"/>
          <c:showCatName val="0"/>
          <c:showSerName val="0"/>
          <c:showPercent val="0"/>
          <c:showBubbleSize val="0"/>
        </c:dLbls>
        <c:gapWidth val="100"/>
        <c:overlap val="100"/>
        <c:axId val="494290511"/>
        <c:axId val="494299631"/>
      </c:barChart>
      <c:lineChart>
        <c:grouping val="standard"/>
        <c:varyColors val="0"/>
        <c:ser>
          <c:idx val="0"/>
          <c:order val="0"/>
          <c:tx>
            <c:strRef>
              <c:f>'1. Charts'!$A$4</c:f>
              <c:strCache>
                <c:ptCount val="1"/>
                <c:pt idx="0">
                  <c:v>Total operating revenue ($m)</c:v>
                </c:pt>
              </c:strCache>
            </c:strRef>
          </c:tx>
          <c:spPr>
            <a:ln w="28575" cap="rnd">
              <a:solidFill>
                <a:srgbClr val="7030A0"/>
              </a:solidFill>
              <a:round/>
            </a:ln>
            <a:effectLst/>
          </c:spPr>
          <c:marker>
            <c:symbol val="none"/>
          </c:marker>
          <c:cat>
            <c:strRef>
              <c:f>'1. Charts'!$B$3:$K$3</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Charts'!$B$4:$K$4</c:f>
              <c:numCache>
                <c:formatCode>#,##0.0_ ;[Red]\(#,##0.0\)</c:formatCode>
                <c:ptCount val="10"/>
                <c:pt idx="0">
                  <c:v>26.283999999999999</c:v>
                </c:pt>
                <c:pt idx="1">
                  <c:v>28.542999999999999</c:v>
                </c:pt>
                <c:pt idx="2">
                  <c:v>29.591999999999999</c:v>
                </c:pt>
                <c:pt idx="3">
                  <c:v>30.85691570125045</c:v>
                </c:pt>
                <c:pt idx="4">
                  <c:v>32.02159154579828</c:v>
                </c:pt>
                <c:pt idx="5">
                  <c:v>33.191135858249638</c:v>
                </c:pt>
                <c:pt idx="6">
                  <c:v>34.451338625423347</c:v>
                </c:pt>
                <c:pt idx="7">
                  <c:v>34.968416996992367</c:v>
                </c:pt>
                <c:pt idx="8">
                  <c:v>35.743677526317335</c:v>
                </c:pt>
                <c:pt idx="9">
                  <c:v>36.469779545789024</c:v>
                </c:pt>
              </c:numCache>
            </c:numRef>
          </c:val>
          <c:smooth val="0"/>
          <c:extLst>
            <c:ext xmlns:c16="http://schemas.microsoft.com/office/drawing/2014/chart" uri="{C3380CC4-5D6E-409C-BE32-E72D297353CC}">
              <c16:uniqueId val="{00000002-151B-4C6B-820B-2CE9C0C05967}"/>
            </c:ext>
          </c:extLst>
        </c:ser>
        <c:dLbls>
          <c:showLegendKey val="0"/>
          <c:showVal val="0"/>
          <c:showCatName val="0"/>
          <c:showSerName val="0"/>
          <c:showPercent val="0"/>
          <c:showBubbleSize val="0"/>
        </c:dLbls>
        <c:marker val="1"/>
        <c:smooth val="0"/>
        <c:axId val="494290511"/>
        <c:axId val="494299631"/>
      </c:lineChart>
      <c:lineChart>
        <c:grouping val="standard"/>
        <c:varyColors val="0"/>
        <c:ser>
          <c:idx val="3"/>
          <c:order val="3"/>
          <c:tx>
            <c:strRef>
              <c:f>'1. Charts'!$A$7</c:f>
              <c:strCache>
                <c:ptCount val="1"/>
                <c:pt idx="0">
                  <c:v>Net debt to operating revenue (%)</c:v>
                </c:pt>
              </c:strCache>
            </c:strRef>
          </c:tx>
          <c:spPr>
            <a:ln w="28575" cap="rnd">
              <a:solidFill>
                <a:schemeClr val="accent6">
                  <a:lumMod val="75000"/>
                </a:schemeClr>
              </a:solidFill>
              <a:prstDash val="dash"/>
              <a:round/>
            </a:ln>
            <a:effectLst/>
          </c:spPr>
          <c:marker>
            <c:symbol val="none"/>
          </c:marker>
          <c:cat>
            <c:strRef>
              <c:f>'1. Charts'!$B$3:$K$3</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Charts'!$B$7:$K$7</c:f>
              <c:numCache>
                <c:formatCode>0%</c:formatCode>
                <c:ptCount val="10"/>
                <c:pt idx="0">
                  <c:v>0.52115138487292645</c:v>
                </c:pt>
                <c:pt idx="1">
                  <c:v>0.52863900080580173</c:v>
                </c:pt>
                <c:pt idx="2">
                  <c:v>0.52493724655312246</c:v>
                </c:pt>
                <c:pt idx="3">
                  <c:v>0.58703689557912808</c:v>
                </c:pt>
                <c:pt idx="4">
                  <c:v>0.61595454874770572</c:v>
                </c:pt>
                <c:pt idx="5">
                  <c:v>0.61258097351012142</c:v>
                </c:pt>
                <c:pt idx="6">
                  <c:v>0.6223932462759213</c:v>
                </c:pt>
                <c:pt idx="7">
                  <c:v>0.57644368980846983</c:v>
                </c:pt>
                <c:pt idx="8">
                  <c:v>0.54556797236385124</c:v>
                </c:pt>
                <c:pt idx="9">
                  <c:v>0.49029462618933078</c:v>
                </c:pt>
              </c:numCache>
            </c:numRef>
          </c:val>
          <c:smooth val="0"/>
          <c:extLst>
            <c:ext xmlns:c16="http://schemas.microsoft.com/office/drawing/2014/chart" uri="{C3380CC4-5D6E-409C-BE32-E72D297353CC}">
              <c16:uniqueId val="{00000003-151B-4C6B-820B-2CE9C0C05967}"/>
            </c:ext>
          </c:extLst>
        </c:ser>
        <c:ser>
          <c:idx val="4"/>
          <c:order val="4"/>
          <c:tx>
            <c:strRef>
              <c:f>'1. Charts'!$A$8</c:f>
              <c:strCache>
                <c:ptCount val="1"/>
                <c:pt idx="0">
                  <c:v>Borrowing limit (%)</c:v>
                </c:pt>
              </c:strCache>
            </c:strRef>
          </c:tx>
          <c:spPr>
            <a:ln w="28575" cap="rnd">
              <a:solidFill>
                <a:srgbClr val="C00000"/>
              </a:solidFill>
              <a:prstDash val="dash"/>
              <a:round/>
            </a:ln>
            <a:effectLst/>
          </c:spPr>
          <c:marker>
            <c:symbol val="none"/>
          </c:marker>
          <c:cat>
            <c:strRef>
              <c:f>'1. Charts'!$B$3:$K$3</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Charts'!$B$8:$K$8</c:f>
              <c:numCache>
                <c:formatCode>#,##0%\ ;\(#,##0%\)</c:formatCode>
                <c:ptCount val="10"/>
                <c:pt idx="0">
                  <c:v>1.75</c:v>
                </c:pt>
                <c:pt idx="1">
                  <c:v>1.75</c:v>
                </c:pt>
                <c:pt idx="2">
                  <c:v>1.75</c:v>
                </c:pt>
                <c:pt idx="3">
                  <c:v>1.75</c:v>
                </c:pt>
                <c:pt idx="4">
                  <c:v>1.75</c:v>
                </c:pt>
                <c:pt idx="5">
                  <c:v>1.75</c:v>
                </c:pt>
                <c:pt idx="6">
                  <c:v>1.75</c:v>
                </c:pt>
                <c:pt idx="7">
                  <c:v>1.75</c:v>
                </c:pt>
                <c:pt idx="8">
                  <c:v>1.75</c:v>
                </c:pt>
                <c:pt idx="9">
                  <c:v>1.75</c:v>
                </c:pt>
              </c:numCache>
            </c:numRef>
          </c:val>
          <c:smooth val="0"/>
          <c:extLst>
            <c:ext xmlns:c16="http://schemas.microsoft.com/office/drawing/2014/chart" uri="{C3380CC4-5D6E-409C-BE32-E72D297353CC}">
              <c16:uniqueId val="{00000004-151B-4C6B-820B-2CE9C0C05967}"/>
            </c:ext>
          </c:extLst>
        </c:ser>
        <c:dLbls>
          <c:showLegendKey val="0"/>
          <c:showVal val="0"/>
          <c:showCatName val="0"/>
          <c:showSerName val="0"/>
          <c:showPercent val="0"/>
          <c:showBubbleSize val="0"/>
        </c:dLbls>
        <c:marker val="1"/>
        <c:smooth val="0"/>
        <c:axId val="494276591"/>
        <c:axId val="494290991"/>
      </c:lineChart>
      <c:catAx>
        <c:axId val="49429051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9631"/>
        <c:crosses val="autoZero"/>
        <c:auto val="1"/>
        <c:lblAlgn val="ctr"/>
        <c:lblOffset val="100"/>
        <c:noMultiLvlLbl val="0"/>
      </c:catAx>
      <c:valAx>
        <c:axId val="4942996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NZ" sz="800"/>
                  <a:t>$m</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_ ;[Red]\(#,##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0511"/>
        <c:crosses val="autoZero"/>
        <c:crossBetween val="between"/>
      </c:valAx>
      <c:valAx>
        <c:axId val="494290991"/>
        <c:scaling>
          <c:orientation val="minMax"/>
          <c:max val="3.6"/>
        </c:scaling>
        <c:delete val="0"/>
        <c:axPos val="r"/>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NZ" sz="800"/>
                  <a:t>Net debt to operating revenue</a:t>
                </a:r>
              </a:p>
            </c:rich>
          </c:tx>
          <c:layout>
            <c:manualLayout>
              <c:xMode val="edge"/>
              <c:yMode val="edge"/>
              <c:x val="0.95109950957815714"/>
              <c:y val="0.18630023999287834"/>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76591"/>
        <c:crosses val="max"/>
        <c:crossBetween val="between"/>
        <c:majorUnit val="0.60000000000000009"/>
      </c:valAx>
      <c:catAx>
        <c:axId val="494276591"/>
        <c:scaling>
          <c:orientation val="minMax"/>
        </c:scaling>
        <c:delete val="1"/>
        <c:axPos val="b"/>
        <c:numFmt formatCode="General" sourceLinked="1"/>
        <c:majorTickMark val="out"/>
        <c:minorTickMark val="none"/>
        <c:tickLblPos val="nextTo"/>
        <c:crossAx val="494290991"/>
        <c:crosses val="autoZero"/>
        <c:auto val="1"/>
        <c:lblAlgn val="ctr"/>
        <c:lblOffset val="100"/>
        <c:noMultiLvlLbl val="0"/>
      </c:catAx>
      <c:spPr>
        <a:noFill/>
        <a:ln>
          <a:noFill/>
        </a:ln>
        <a:effectLst/>
      </c:spPr>
    </c:plotArea>
    <c:legend>
      <c:legendPos val="b"/>
      <c:layout>
        <c:manualLayout>
          <c:xMode val="edge"/>
          <c:yMode val="edge"/>
          <c:x val="1.2374597663422433E-2"/>
          <c:y val="0.84578686234291911"/>
          <c:w val="0.95866543966888473"/>
          <c:h val="0.12652584419902149"/>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NZ" sz="1000" b="1" i="0" u="none" strike="noStrike" kern="1200" spc="0" baseline="0">
                <a:solidFill>
                  <a:srgbClr val="00ABC5"/>
                </a:solidFill>
              </a:rPr>
              <a:t>Projected water services net debt to operating revenue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781299277788633"/>
          <c:y val="0.14861172931128766"/>
          <c:w val="0.75495431879187425"/>
          <c:h val="0.60512505609220379"/>
        </c:manualLayout>
      </c:layout>
      <c:barChart>
        <c:barDir val="col"/>
        <c:grouping val="stacked"/>
        <c:varyColors val="0"/>
        <c:ser>
          <c:idx val="1"/>
          <c:order val="1"/>
          <c:tx>
            <c:strRef>
              <c:f>'1. Charts'!$A$12</c:f>
              <c:strCache>
                <c:ptCount val="1"/>
                <c:pt idx="0">
                  <c:v>Net debt ($m)</c:v>
                </c:pt>
              </c:strCache>
            </c:strRef>
          </c:tx>
          <c:spPr>
            <a:solidFill>
              <a:srgbClr val="C8A5E3"/>
            </a:solidFill>
            <a:ln>
              <a:noFill/>
            </a:ln>
            <a:effectLst/>
          </c:spPr>
          <c:invertIfNegative val="0"/>
          <c:cat>
            <c:strRef>
              <c:f>'1. Charts'!$B$10:$K$10</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Charts'!$B$12:$K$12</c:f>
              <c:numCache>
                <c:formatCode>#,##0.0_ ;[Red]\(#,##0.0\)</c:formatCode>
                <c:ptCount val="10"/>
                <c:pt idx="0">
                  <c:v>28.623943000000001</c:v>
                </c:pt>
                <c:pt idx="1">
                  <c:v>32.028942999999998</c:v>
                </c:pt>
                <c:pt idx="2">
                  <c:v>34.292943000000001</c:v>
                </c:pt>
                <c:pt idx="3">
                  <c:v>38.54614800040892</c:v>
                </c:pt>
                <c:pt idx="4">
                  <c:v>42.193844970775523</c:v>
                </c:pt>
                <c:pt idx="5">
                  <c:v>45.085258315953268</c:v>
                </c:pt>
                <c:pt idx="6">
                  <c:v>48.713280485628296</c:v>
                </c:pt>
                <c:pt idx="7">
                  <c:v>49.745323320507502</c:v>
                </c:pt>
                <c:pt idx="8">
                  <c:v>51.310605672860319</c:v>
                </c:pt>
                <c:pt idx="9">
                  <c:v>52.052936929609956</c:v>
                </c:pt>
              </c:numCache>
            </c:numRef>
          </c:val>
          <c:extLst>
            <c:ext xmlns:c16="http://schemas.microsoft.com/office/drawing/2014/chart" uri="{C3380CC4-5D6E-409C-BE32-E72D297353CC}">
              <c16:uniqueId val="{00000000-3D8A-4060-B0DE-CD28FF0C696A}"/>
            </c:ext>
          </c:extLst>
        </c:ser>
        <c:ser>
          <c:idx val="2"/>
          <c:order val="2"/>
          <c:tx>
            <c:strRef>
              <c:f>'1. Charts'!$A$13</c:f>
              <c:strCache>
                <c:ptCount val="1"/>
                <c:pt idx="0">
                  <c:v>Debt headroom to limit ($m)</c:v>
                </c:pt>
              </c:strCache>
            </c:strRef>
          </c:tx>
          <c:spPr>
            <a:solidFill>
              <a:srgbClr val="D9D9D9"/>
            </a:solidFill>
            <a:ln>
              <a:noFill/>
            </a:ln>
            <a:effectLst/>
          </c:spPr>
          <c:invertIfNegative val="0"/>
          <c:cat>
            <c:strRef>
              <c:f>'1. Charts'!$B$10:$K$10</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Charts'!$B$13:$K$13</c:f>
              <c:numCache>
                <c:formatCode>#,##0.0_ ;[Red]\(#,##0.0\)</c:formatCode>
                <c:ptCount val="10"/>
                <c:pt idx="0">
                  <c:v>5.776056999999998</c:v>
                </c:pt>
                <c:pt idx="1">
                  <c:v>9.491057000000005</c:v>
                </c:pt>
                <c:pt idx="2">
                  <c:v>13.077057000000003</c:v>
                </c:pt>
                <c:pt idx="3">
                  <c:v>13.068430505843338</c:v>
                </c:pt>
                <c:pt idx="4">
                  <c:v>12.929112758215879</c:v>
                </c:pt>
                <c:pt idx="5">
                  <c:v>13.755420975294918</c:v>
                </c:pt>
                <c:pt idx="6">
                  <c:v>13.648412641488413</c:v>
                </c:pt>
                <c:pt idx="7">
                  <c:v>13.796761664454344</c:v>
                </c:pt>
                <c:pt idx="8">
                  <c:v>13.942781958726357</c:v>
                </c:pt>
                <c:pt idx="9">
                  <c:v>14.34596079933516</c:v>
                </c:pt>
              </c:numCache>
            </c:numRef>
          </c:val>
          <c:extLst>
            <c:ext xmlns:c16="http://schemas.microsoft.com/office/drawing/2014/chart" uri="{C3380CC4-5D6E-409C-BE32-E72D297353CC}">
              <c16:uniqueId val="{00000001-3D8A-4060-B0DE-CD28FF0C696A}"/>
            </c:ext>
          </c:extLst>
        </c:ser>
        <c:dLbls>
          <c:showLegendKey val="0"/>
          <c:showVal val="0"/>
          <c:showCatName val="0"/>
          <c:showSerName val="0"/>
          <c:showPercent val="0"/>
          <c:showBubbleSize val="0"/>
        </c:dLbls>
        <c:gapWidth val="100"/>
        <c:overlap val="100"/>
        <c:axId val="494290511"/>
        <c:axId val="494299631"/>
      </c:barChart>
      <c:lineChart>
        <c:grouping val="standard"/>
        <c:varyColors val="0"/>
        <c:ser>
          <c:idx val="0"/>
          <c:order val="0"/>
          <c:tx>
            <c:strRef>
              <c:f>'1. Charts'!$A$11</c:f>
              <c:strCache>
                <c:ptCount val="1"/>
                <c:pt idx="0">
                  <c:v>Total operating revenue ($m)</c:v>
                </c:pt>
              </c:strCache>
            </c:strRef>
          </c:tx>
          <c:spPr>
            <a:ln w="28575" cap="rnd">
              <a:solidFill>
                <a:srgbClr val="7030A0"/>
              </a:solidFill>
              <a:round/>
            </a:ln>
            <a:effectLst/>
          </c:spPr>
          <c:marker>
            <c:symbol val="none"/>
          </c:marker>
          <c:cat>
            <c:strRef>
              <c:f>'1. Charts'!$B$10:$K$10</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Charts'!$B$11:$K$11</c:f>
              <c:numCache>
                <c:formatCode>#,##0.0_ ;[Red]\(#,##0.0\)</c:formatCode>
                <c:ptCount val="10"/>
                <c:pt idx="0">
                  <c:v>6.88</c:v>
                </c:pt>
                <c:pt idx="1">
                  <c:v>8.3040000000000003</c:v>
                </c:pt>
                <c:pt idx="2">
                  <c:v>9.4740000000000002</c:v>
                </c:pt>
                <c:pt idx="3">
                  <c:v>10.322915701250452</c:v>
                </c:pt>
                <c:pt idx="4">
                  <c:v>11.02459154579828</c:v>
                </c:pt>
                <c:pt idx="5">
                  <c:v>11.768135858249638</c:v>
                </c:pt>
                <c:pt idx="6">
                  <c:v>12.472338625423342</c:v>
                </c:pt>
                <c:pt idx="7">
                  <c:v>12.708416996992369</c:v>
                </c:pt>
                <c:pt idx="8">
                  <c:v>13.050677526317335</c:v>
                </c:pt>
                <c:pt idx="9">
                  <c:v>13.279779545789024</c:v>
                </c:pt>
              </c:numCache>
            </c:numRef>
          </c:val>
          <c:smooth val="0"/>
          <c:extLst>
            <c:ext xmlns:c16="http://schemas.microsoft.com/office/drawing/2014/chart" uri="{C3380CC4-5D6E-409C-BE32-E72D297353CC}">
              <c16:uniqueId val="{00000002-3D8A-4060-B0DE-CD28FF0C696A}"/>
            </c:ext>
          </c:extLst>
        </c:ser>
        <c:dLbls>
          <c:showLegendKey val="0"/>
          <c:showVal val="0"/>
          <c:showCatName val="0"/>
          <c:showSerName val="0"/>
          <c:showPercent val="0"/>
          <c:showBubbleSize val="0"/>
        </c:dLbls>
        <c:marker val="1"/>
        <c:smooth val="0"/>
        <c:axId val="494290511"/>
        <c:axId val="494299631"/>
      </c:lineChart>
      <c:lineChart>
        <c:grouping val="standard"/>
        <c:varyColors val="0"/>
        <c:ser>
          <c:idx val="3"/>
          <c:order val="3"/>
          <c:tx>
            <c:strRef>
              <c:f>'1. Charts'!$A$14</c:f>
              <c:strCache>
                <c:ptCount val="1"/>
                <c:pt idx="0">
                  <c:v>Net debt to operating revenue (%)</c:v>
                </c:pt>
              </c:strCache>
            </c:strRef>
          </c:tx>
          <c:spPr>
            <a:ln w="28575" cap="rnd">
              <a:solidFill>
                <a:schemeClr val="accent6">
                  <a:lumMod val="75000"/>
                </a:schemeClr>
              </a:solidFill>
              <a:prstDash val="dash"/>
              <a:round/>
            </a:ln>
            <a:effectLst/>
          </c:spPr>
          <c:marker>
            <c:symbol val="none"/>
          </c:marker>
          <c:cat>
            <c:strRef>
              <c:f>'1. Charts'!$B$10:$K$10</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Charts'!$B$14:$K$14</c:f>
              <c:numCache>
                <c:formatCode>0%</c:formatCode>
                <c:ptCount val="10"/>
                <c:pt idx="0">
                  <c:v>4.1604568313953489</c:v>
                </c:pt>
                <c:pt idx="1">
                  <c:v>3.857049975915221</c:v>
                </c:pt>
                <c:pt idx="2">
                  <c:v>3.6196899936668778</c:v>
                </c:pt>
                <c:pt idx="3">
                  <c:v>3.7340368860843927</c:v>
                </c:pt>
                <c:pt idx="4">
                  <c:v>3.827247911679462</c:v>
                </c:pt>
                <c:pt idx="5">
                  <c:v>3.8311299987540366</c:v>
                </c:pt>
                <c:pt idx="6">
                  <c:v>3.9057054132840983</c:v>
                </c:pt>
                <c:pt idx="7">
                  <c:v>3.9143603276694847</c:v>
                </c:pt>
                <c:pt idx="8">
                  <c:v>3.9316430560321449</c:v>
                </c:pt>
                <c:pt idx="9">
                  <c:v>3.9197139342660079</c:v>
                </c:pt>
              </c:numCache>
            </c:numRef>
          </c:val>
          <c:smooth val="0"/>
          <c:extLst>
            <c:ext xmlns:c16="http://schemas.microsoft.com/office/drawing/2014/chart" uri="{C3380CC4-5D6E-409C-BE32-E72D297353CC}">
              <c16:uniqueId val="{00000003-3D8A-4060-B0DE-CD28FF0C696A}"/>
            </c:ext>
          </c:extLst>
        </c:ser>
        <c:ser>
          <c:idx val="4"/>
          <c:order val="4"/>
          <c:tx>
            <c:strRef>
              <c:f>'1. Charts'!$A$15</c:f>
              <c:strCache>
                <c:ptCount val="1"/>
                <c:pt idx="0">
                  <c:v>Water borrowing limit (%)</c:v>
                </c:pt>
              </c:strCache>
            </c:strRef>
          </c:tx>
          <c:spPr>
            <a:ln w="28575" cap="rnd">
              <a:solidFill>
                <a:srgbClr val="00ABC5"/>
              </a:solidFill>
              <a:prstDash val="dash"/>
              <a:round/>
            </a:ln>
            <a:effectLst/>
          </c:spPr>
          <c:marker>
            <c:symbol val="none"/>
          </c:marker>
          <c:cat>
            <c:strRef>
              <c:f>'1. Charts'!$B$10:$K$10</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Charts'!$B$15:$K$15</c:f>
              <c:numCache>
                <c:formatCode>0%</c:formatCode>
                <c:ptCount val="10"/>
                <c:pt idx="0">
                  <c:v>5</c:v>
                </c:pt>
                <c:pt idx="1">
                  <c:v>5</c:v>
                </c:pt>
                <c:pt idx="2">
                  <c:v>5</c:v>
                </c:pt>
                <c:pt idx="3">
                  <c:v>5</c:v>
                </c:pt>
                <c:pt idx="4">
                  <c:v>5</c:v>
                </c:pt>
                <c:pt idx="5">
                  <c:v>5</c:v>
                </c:pt>
                <c:pt idx="6">
                  <c:v>5</c:v>
                </c:pt>
                <c:pt idx="7">
                  <c:v>5</c:v>
                </c:pt>
                <c:pt idx="8">
                  <c:v>5</c:v>
                </c:pt>
                <c:pt idx="9">
                  <c:v>5</c:v>
                </c:pt>
              </c:numCache>
            </c:numRef>
          </c:val>
          <c:smooth val="0"/>
          <c:extLst>
            <c:ext xmlns:c16="http://schemas.microsoft.com/office/drawing/2014/chart" uri="{C3380CC4-5D6E-409C-BE32-E72D297353CC}">
              <c16:uniqueId val="{00000004-3D8A-4060-B0DE-CD28FF0C696A}"/>
            </c:ext>
          </c:extLst>
        </c:ser>
        <c:ser>
          <c:idx val="5"/>
          <c:order val="5"/>
          <c:tx>
            <c:strRef>
              <c:f>'1. Charts'!$A$16</c:f>
              <c:strCache>
                <c:ptCount val="1"/>
                <c:pt idx="0">
                  <c:v>Council borrowing limit (%)</c:v>
                </c:pt>
              </c:strCache>
            </c:strRef>
          </c:tx>
          <c:spPr>
            <a:ln w="28575" cap="rnd">
              <a:solidFill>
                <a:srgbClr val="C00000"/>
              </a:solidFill>
              <a:prstDash val="dash"/>
              <a:round/>
            </a:ln>
            <a:effectLst/>
          </c:spPr>
          <c:marker>
            <c:symbol val="none"/>
          </c:marker>
          <c:cat>
            <c:strRef>
              <c:f>'1. Charts'!$B$10:$K$10</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Charts'!$B$16:$K$16</c:f>
              <c:numCache>
                <c:formatCode>0%</c:formatCode>
                <c:ptCount val="10"/>
                <c:pt idx="0">
                  <c:v>1.5</c:v>
                </c:pt>
                <c:pt idx="1">
                  <c:v>1.5</c:v>
                </c:pt>
                <c:pt idx="2">
                  <c:v>1.5</c:v>
                </c:pt>
                <c:pt idx="3">
                  <c:v>1.5</c:v>
                </c:pt>
                <c:pt idx="4">
                  <c:v>1.5</c:v>
                </c:pt>
                <c:pt idx="5">
                  <c:v>1.5</c:v>
                </c:pt>
                <c:pt idx="6">
                  <c:v>1.5</c:v>
                </c:pt>
                <c:pt idx="7">
                  <c:v>1.5</c:v>
                </c:pt>
                <c:pt idx="8">
                  <c:v>1.5</c:v>
                </c:pt>
                <c:pt idx="9">
                  <c:v>1.5</c:v>
                </c:pt>
              </c:numCache>
            </c:numRef>
          </c:val>
          <c:smooth val="0"/>
          <c:extLst>
            <c:ext xmlns:c16="http://schemas.microsoft.com/office/drawing/2014/chart" uri="{C3380CC4-5D6E-409C-BE32-E72D297353CC}">
              <c16:uniqueId val="{00000005-3D8A-4060-B0DE-CD28FF0C696A}"/>
            </c:ext>
          </c:extLst>
        </c:ser>
        <c:dLbls>
          <c:showLegendKey val="0"/>
          <c:showVal val="0"/>
          <c:showCatName val="0"/>
          <c:showSerName val="0"/>
          <c:showPercent val="0"/>
          <c:showBubbleSize val="0"/>
        </c:dLbls>
        <c:marker val="1"/>
        <c:smooth val="0"/>
        <c:axId val="494276591"/>
        <c:axId val="494290991"/>
      </c:lineChart>
      <c:catAx>
        <c:axId val="49429051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9631"/>
        <c:crosses val="autoZero"/>
        <c:auto val="1"/>
        <c:lblAlgn val="ctr"/>
        <c:lblOffset val="100"/>
        <c:noMultiLvlLbl val="0"/>
      </c:catAx>
      <c:valAx>
        <c:axId val="4942996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NZ" sz="800"/>
                  <a:t>$m</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_ ;[Red]\(#,##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0511"/>
        <c:crosses val="autoZero"/>
        <c:crossBetween val="between"/>
      </c:valAx>
      <c:valAx>
        <c:axId val="494290991"/>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sz="800"/>
                  <a:t>Net debt to operating revenue</a:t>
                </a:r>
              </a:p>
            </c:rich>
          </c:tx>
          <c:layout>
            <c:manualLayout>
              <c:xMode val="edge"/>
              <c:yMode val="edge"/>
              <c:x val="0.94833528207744522"/>
              <c:y val="0.19552933781223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76591"/>
        <c:crosses val="max"/>
        <c:crossBetween val="between"/>
        <c:majorUnit val="1"/>
      </c:valAx>
      <c:catAx>
        <c:axId val="494276591"/>
        <c:scaling>
          <c:orientation val="minMax"/>
        </c:scaling>
        <c:delete val="1"/>
        <c:axPos val="b"/>
        <c:numFmt formatCode="General" sourceLinked="1"/>
        <c:majorTickMark val="out"/>
        <c:minorTickMark val="none"/>
        <c:tickLblPos val="nextTo"/>
        <c:crossAx val="494290991"/>
        <c:crosses val="autoZero"/>
        <c:auto val="1"/>
        <c:lblAlgn val="ctr"/>
        <c:lblOffset val="100"/>
        <c:noMultiLvlLbl val="0"/>
      </c:catAx>
      <c:spPr>
        <a:noFill/>
        <a:ln>
          <a:noFill/>
        </a:ln>
        <a:effectLst/>
      </c:spPr>
    </c:plotArea>
    <c:legend>
      <c:legendPos val="b"/>
      <c:layout>
        <c:manualLayout>
          <c:xMode val="edge"/>
          <c:yMode val="edge"/>
          <c:x val="8.2222004201492074E-2"/>
          <c:y val="0.84578667891593939"/>
          <c:w val="0.87362826570560925"/>
          <c:h val="0.12796325218190169"/>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sz="1000" b="1" i="0" u="none" strike="noStrike" kern="1200" spc="0" baseline="0">
                <a:solidFill>
                  <a:srgbClr val="00ABC5"/>
                </a:solidFill>
              </a:rPr>
              <a:t>Projected water services investment requirements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781299277788633"/>
          <c:y val="0.14861172931128766"/>
          <c:w val="0.81884317585301836"/>
          <c:h val="0.60512505609220379"/>
        </c:manualLayout>
      </c:layout>
      <c:barChart>
        <c:barDir val="col"/>
        <c:grouping val="stacked"/>
        <c:varyColors val="0"/>
        <c:ser>
          <c:idx val="0"/>
          <c:order val="0"/>
          <c:tx>
            <c:strRef>
              <c:f>'1. Charts'!$A$19</c:f>
              <c:strCache>
                <c:ptCount val="1"/>
                <c:pt idx="0">
                  <c:v>To replace existing assets ($m)</c:v>
                </c:pt>
              </c:strCache>
            </c:strRef>
          </c:tx>
          <c:spPr>
            <a:solidFill>
              <a:srgbClr val="F1E8F8"/>
            </a:solidFill>
            <a:ln>
              <a:noFill/>
            </a:ln>
            <a:effectLst/>
          </c:spPr>
          <c:invertIfNegative val="0"/>
          <c:cat>
            <c:strRef>
              <c:f>'1. Charts'!$B$18:$K$18</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Charts'!$B$19:$K$19</c:f>
              <c:numCache>
                <c:formatCode>#,##0.0_ ;[Red]\(#,##0.0\)</c:formatCode>
                <c:ptCount val="10"/>
                <c:pt idx="0">
                  <c:v>4.5949999999999998</c:v>
                </c:pt>
                <c:pt idx="1">
                  <c:v>6.4160000000000004</c:v>
                </c:pt>
                <c:pt idx="2">
                  <c:v>6.15</c:v>
                </c:pt>
                <c:pt idx="3">
                  <c:v>5.63</c:v>
                </c:pt>
                <c:pt idx="4">
                  <c:v>5.165</c:v>
                </c:pt>
                <c:pt idx="5">
                  <c:v>5.0821043860272344</c:v>
                </c:pt>
                <c:pt idx="6">
                  <c:v>6.123268127778962</c:v>
                </c:pt>
                <c:pt idx="7">
                  <c:v>5.9762675630375561</c:v>
                </c:pt>
                <c:pt idx="8">
                  <c:v>6.6614214815059016</c:v>
                </c:pt>
                <c:pt idx="9">
                  <c:v>5.9061395950711191</c:v>
                </c:pt>
              </c:numCache>
            </c:numRef>
          </c:val>
          <c:extLst>
            <c:ext xmlns:c16="http://schemas.microsoft.com/office/drawing/2014/chart" uri="{C3380CC4-5D6E-409C-BE32-E72D297353CC}">
              <c16:uniqueId val="{00000000-1202-456F-8527-9001B270EDAC}"/>
            </c:ext>
          </c:extLst>
        </c:ser>
        <c:ser>
          <c:idx val="1"/>
          <c:order val="1"/>
          <c:tx>
            <c:strRef>
              <c:f>'1. Charts'!$A$20</c:f>
              <c:strCache>
                <c:ptCount val="1"/>
                <c:pt idx="0">
                  <c:v>To improve levels of service ($m)</c:v>
                </c:pt>
              </c:strCache>
            </c:strRef>
          </c:tx>
          <c:spPr>
            <a:solidFill>
              <a:srgbClr val="C8A5E3"/>
            </a:solidFill>
            <a:ln>
              <a:noFill/>
            </a:ln>
            <a:effectLst/>
          </c:spPr>
          <c:invertIfNegative val="0"/>
          <c:cat>
            <c:strRef>
              <c:f>'1. Charts'!$B$18:$K$18</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Charts'!$B$20:$K$20</c:f>
              <c:numCache>
                <c:formatCode>#,##0.0_ ;[Red]\(#,##0.0\)</c:formatCode>
                <c:ptCount val="10"/>
                <c:pt idx="0">
                  <c:v>0.96</c:v>
                </c:pt>
                <c:pt idx="1">
                  <c:v>0.38200000000000001</c:v>
                </c:pt>
                <c:pt idx="2">
                  <c:v>0.28499999999999998</c:v>
                </c:pt>
                <c:pt idx="3">
                  <c:v>1.1619999999999999</c:v>
                </c:pt>
                <c:pt idx="4">
                  <c:v>2.609</c:v>
                </c:pt>
                <c:pt idx="5">
                  <c:v>2.3658974375370043</c:v>
                </c:pt>
                <c:pt idx="6">
                  <c:v>2.4222806471111111</c:v>
                </c:pt>
                <c:pt idx="7">
                  <c:v>7.5713440581873306E-2</c:v>
                </c:pt>
                <c:pt idx="8">
                  <c:v>7.9548375019920139E-2</c:v>
                </c:pt>
                <c:pt idx="9">
                  <c:v>8.5353915826546084E-2</c:v>
                </c:pt>
              </c:numCache>
            </c:numRef>
          </c:val>
          <c:extLst>
            <c:ext xmlns:c16="http://schemas.microsoft.com/office/drawing/2014/chart" uri="{C3380CC4-5D6E-409C-BE32-E72D297353CC}">
              <c16:uniqueId val="{00000001-1202-456F-8527-9001B270EDAC}"/>
            </c:ext>
          </c:extLst>
        </c:ser>
        <c:ser>
          <c:idx val="2"/>
          <c:order val="2"/>
          <c:tx>
            <c:strRef>
              <c:f>'1. Charts'!$A$21</c:f>
              <c:strCache>
                <c:ptCount val="1"/>
                <c:pt idx="0">
                  <c:v>To meet additional demand ($m)</c:v>
                </c:pt>
              </c:strCache>
            </c:strRef>
          </c:tx>
          <c:spPr>
            <a:solidFill>
              <a:srgbClr val="7030A0"/>
            </a:solidFill>
            <a:ln>
              <a:noFill/>
            </a:ln>
            <a:effectLst/>
          </c:spPr>
          <c:invertIfNegative val="0"/>
          <c:cat>
            <c:strRef>
              <c:f>'1. Charts'!$B$18:$K$18</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Charts'!$B$21:$K$21</c:f>
              <c:numCache>
                <c:formatCode>#,##0.0_ ;[Red]\(#,##0.0\)</c:formatCode>
                <c:ptCount val="10"/>
                <c:pt idx="0">
                  <c:v>7.4999999999999997E-2</c:v>
                </c:pt>
                <c:pt idx="1">
                  <c:v>7.6999999999999999E-2</c:v>
                </c:pt>
                <c:pt idx="2">
                  <c:v>0.08</c:v>
                </c:pt>
                <c:pt idx="3">
                  <c:v>8.3000000000000004E-2</c:v>
                </c:pt>
                <c:pt idx="4">
                  <c:v>8.5000000000000006E-2</c:v>
                </c:pt>
                <c:pt idx="5">
                  <c:v>8.5939509769094147E-2</c:v>
                </c:pt>
                <c:pt idx="6">
                  <c:v>8.8806048221038089E-2</c:v>
                </c:pt>
                <c:pt idx="7">
                  <c:v>9.0603996316570748E-2</c:v>
                </c:pt>
                <c:pt idx="8">
                  <c:v>9.239406274406671E-2</c:v>
                </c:pt>
                <c:pt idx="9">
                  <c:v>9.4176296340322457E-2</c:v>
                </c:pt>
              </c:numCache>
            </c:numRef>
          </c:val>
          <c:extLst>
            <c:ext xmlns:c16="http://schemas.microsoft.com/office/drawing/2014/chart" uri="{C3380CC4-5D6E-409C-BE32-E72D297353CC}">
              <c16:uniqueId val="{00000002-1202-456F-8527-9001B270EDAC}"/>
            </c:ext>
          </c:extLst>
        </c:ser>
        <c:dLbls>
          <c:showLegendKey val="0"/>
          <c:showVal val="0"/>
          <c:showCatName val="0"/>
          <c:showSerName val="0"/>
          <c:showPercent val="0"/>
          <c:showBubbleSize val="0"/>
        </c:dLbls>
        <c:gapWidth val="100"/>
        <c:overlap val="100"/>
        <c:axId val="494290511"/>
        <c:axId val="494299631"/>
      </c:barChart>
      <c:lineChart>
        <c:grouping val="standard"/>
        <c:varyColors val="0"/>
        <c:ser>
          <c:idx val="3"/>
          <c:order val="3"/>
          <c:tx>
            <c:strRef>
              <c:f>'1. Charts'!$A$22</c:f>
              <c:strCache>
                <c:ptCount val="1"/>
                <c:pt idx="0">
                  <c:v>Depreciation ($m)</c:v>
                </c:pt>
              </c:strCache>
            </c:strRef>
          </c:tx>
          <c:spPr>
            <a:ln w="28575" cap="rnd">
              <a:solidFill>
                <a:schemeClr val="accent6">
                  <a:lumMod val="75000"/>
                </a:schemeClr>
              </a:solidFill>
              <a:prstDash val="dash"/>
              <a:round/>
            </a:ln>
            <a:effectLst/>
          </c:spPr>
          <c:marker>
            <c:symbol val="none"/>
          </c:marker>
          <c:cat>
            <c:strRef>
              <c:f>'1. Charts'!$B$18:$K$18</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Charts'!$B$22:$K$22</c:f>
              <c:numCache>
                <c:formatCode>#,##0.0_ ;[Red]\(#,##0.0\)</c:formatCode>
                <c:ptCount val="10"/>
                <c:pt idx="0">
                  <c:v>2.2709999999999999</c:v>
                </c:pt>
                <c:pt idx="1">
                  <c:v>2.395</c:v>
                </c:pt>
                <c:pt idx="2">
                  <c:v>2.7829999999999999</c:v>
                </c:pt>
                <c:pt idx="3">
                  <c:v>2.859</c:v>
                </c:pt>
                <c:pt idx="4">
                  <c:v>3.1549999999999998</c:v>
                </c:pt>
                <c:pt idx="5">
                  <c:v>3.2509999999999999</c:v>
                </c:pt>
                <c:pt idx="6">
                  <c:v>3.3278640720720718</c:v>
                </c:pt>
                <c:pt idx="7">
                  <c:v>3.5963958940060059</c:v>
                </c:pt>
                <c:pt idx="8">
                  <c:v>3.6007281237348709</c:v>
                </c:pt>
                <c:pt idx="9">
                  <c:v>3.5946114199412205</c:v>
                </c:pt>
              </c:numCache>
            </c:numRef>
          </c:val>
          <c:smooth val="0"/>
          <c:extLst>
            <c:ext xmlns:c16="http://schemas.microsoft.com/office/drawing/2014/chart" uri="{C3380CC4-5D6E-409C-BE32-E72D297353CC}">
              <c16:uniqueId val="{00000003-1202-456F-8527-9001B270EDAC}"/>
            </c:ext>
          </c:extLst>
        </c:ser>
        <c:dLbls>
          <c:showLegendKey val="0"/>
          <c:showVal val="0"/>
          <c:showCatName val="0"/>
          <c:showSerName val="0"/>
          <c:showPercent val="0"/>
          <c:showBubbleSize val="0"/>
        </c:dLbls>
        <c:marker val="1"/>
        <c:smooth val="0"/>
        <c:axId val="494290511"/>
        <c:axId val="494299631"/>
      </c:lineChart>
      <c:catAx>
        <c:axId val="494290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9631"/>
        <c:crosses val="autoZero"/>
        <c:auto val="1"/>
        <c:lblAlgn val="ctr"/>
        <c:lblOffset val="100"/>
        <c:noMultiLvlLbl val="0"/>
      </c:catAx>
      <c:valAx>
        <c:axId val="494299631"/>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NZ" sz="800"/>
                  <a:t>$m</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_ ;[Red]\(#,##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0511"/>
        <c:crosses val="autoZero"/>
        <c:crossBetween val="between"/>
      </c:valAx>
      <c:spPr>
        <a:noFill/>
        <a:ln>
          <a:noFill/>
        </a:ln>
        <a:effectLst/>
      </c:spPr>
    </c:plotArea>
    <c:legend>
      <c:legendPos val="b"/>
      <c:layout>
        <c:manualLayout>
          <c:xMode val="edge"/>
          <c:yMode val="edge"/>
          <c:x val="2.6698233883754568E-2"/>
          <c:y val="0.87265819932408661"/>
          <c:w val="0.95866543966888473"/>
          <c:h val="0.12652584419902149"/>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sz="1000" b="1" i="0" u="none" strike="noStrike" kern="1200" spc="0" baseline="0">
                <a:solidFill>
                  <a:srgbClr val="00ABC5"/>
                </a:solidFill>
              </a:rPr>
              <a:t>Projected water services revenue and expenses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781299277788633"/>
          <c:y val="0.14861172931128766"/>
          <c:w val="0.81884317585301836"/>
          <c:h val="0.60512505609220379"/>
        </c:manualLayout>
      </c:layout>
      <c:barChart>
        <c:barDir val="col"/>
        <c:grouping val="stacked"/>
        <c:varyColors val="0"/>
        <c:ser>
          <c:idx val="0"/>
          <c:order val="0"/>
          <c:tx>
            <c:strRef>
              <c:f>'1. Charts'!$A$36</c:f>
              <c:strCache>
                <c:ptCount val="1"/>
                <c:pt idx="0">
                  <c:v>Expenses (excl. depn, interest) ($m)</c:v>
                </c:pt>
              </c:strCache>
            </c:strRef>
          </c:tx>
          <c:spPr>
            <a:solidFill>
              <a:srgbClr val="F1E8F8"/>
            </a:solidFill>
            <a:ln>
              <a:noFill/>
            </a:ln>
            <a:effectLst/>
          </c:spPr>
          <c:invertIfNegative val="0"/>
          <c:cat>
            <c:strRef>
              <c:f>'1. Charts'!$B$35:$K$35</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Charts'!$B$36:$K$36</c:f>
              <c:numCache>
                <c:formatCode>#,##0.0_ ;[Red]\(#,##0.0\)</c:formatCode>
                <c:ptCount val="10"/>
                <c:pt idx="0">
                  <c:v>3.9000000000000004</c:v>
                </c:pt>
                <c:pt idx="1">
                  <c:v>4.0890000000000004</c:v>
                </c:pt>
                <c:pt idx="2">
                  <c:v>4.277000000000001</c:v>
                </c:pt>
                <c:pt idx="3">
                  <c:v>4.5605064006765854</c:v>
                </c:pt>
                <c:pt idx="4">
                  <c:v>4.6914440606935006</c:v>
                </c:pt>
                <c:pt idx="5">
                  <c:v>4.8116825316456371</c:v>
                </c:pt>
                <c:pt idx="6">
                  <c:v>4.9618640651450745</c:v>
                </c:pt>
                <c:pt idx="7">
                  <c:v>4.9565077307859919</c:v>
                </c:pt>
                <c:pt idx="8">
                  <c:v>5.0670252120206207</c:v>
                </c:pt>
                <c:pt idx="9">
                  <c:v>5.1561242204714333</c:v>
                </c:pt>
              </c:numCache>
            </c:numRef>
          </c:val>
          <c:extLst>
            <c:ext xmlns:c16="http://schemas.microsoft.com/office/drawing/2014/chart" uri="{C3380CC4-5D6E-409C-BE32-E72D297353CC}">
              <c16:uniqueId val="{00000000-0E8C-4986-AA89-BC1ADBE74267}"/>
            </c:ext>
          </c:extLst>
        </c:ser>
        <c:ser>
          <c:idx val="1"/>
          <c:order val="1"/>
          <c:tx>
            <c:strRef>
              <c:f>'1. Charts'!$A$37</c:f>
              <c:strCache>
                <c:ptCount val="1"/>
                <c:pt idx="0">
                  <c:v>Interest costs ($m)</c:v>
                </c:pt>
              </c:strCache>
            </c:strRef>
          </c:tx>
          <c:spPr>
            <a:solidFill>
              <a:srgbClr val="C8A5E3"/>
            </a:solidFill>
            <a:ln>
              <a:noFill/>
            </a:ln>
            <a:effectLst/>
          </c:spPr>
          <c:invertIfNegative val="0"/>
          <c:cat>
            <c:strRef>
              <c:f>'1. Charts'!$B$35:$K$35</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Charts'!$B$37:$K$37</c:f>
              <c:numCache>
                <c:formatCode>#,##0.0_ ;[Red]\(#,##0.0\)</c:formatCode>
                <c:ptCount val="10"/>
                <c:pt idx="0">
                  <c:v>0.77894299999999994</c:v>
                </c:pt>
                <c:pt idx="1">
                  <c:v>1</c:v>
                </c:pt>
                <c:pt idx="2">
                  <c:v>1.206</c:v>
                </c:pt>
                <c:pt idx="3">
                  <c:v>2.1546143009827836</c:v>
                </c:pt>
                <c:pt idx="4">
                  <c:v>2.3888444554713919</c:v>
                </c:pt>
                <c:pt idx="5">
                  <c:v>2.581925338448412</c:v>
                </c:pt>
                <c:pt idx="6">
                  <c:v>2.7741419068421815</c:v>
                </c:pt>
                <c:pt idx="7">
                  <c:v>2.9133671011495861</c:v>
                </c:pt>
                <c:pt idx="8">
                  <c:v>2.9895707473796458</c:v>
                </c:pt>
                <c:pt idx="9">
                  <c:v>3.0563167748292308</c:v>
                </c:pt>
              </c:numCache>
            </c:numRef>
          </c:val>
          <c:extLst>
            <c:ext xmlns:c16="http://schemas.microsoft.com/office/drawing/2014/chart" uri="{C3380CC4-5D6E-409C-BE32-E72D297353CC}">
              <c16:uniqueId val="{00000001-0E8C-4986-AA89-BC1ADBE74267}"/>
            </c:ext>
          </c:extLst>
        </c:ser>
        <c:ser>
          <c:idx val="2"/>
          <c:order val="2"/>
          <c:tx>
            <c:strRef>
              <c:f>'1. Charts'!$A$38</c:f>
              <c:strCache>
                <c:ptCount val="1"/>
                <c:pt idx="0">
                  <c:v>Depreciation ($m)</c:v>
                </c:pt>
              </c:strCache>
            </c:strRef>
          </c:tx>
          <c:spPr>
            <a:solidFill>
              <a:srgbClr val="7030A0"/>
            </a:solidFill>
            <a:ln>
              <a:noFill/>
            </a:ln>
            <a:effectLst/>
          </c:spPr>
          <c:invertIfNegative val="0"/>
          <c:cat>
            <c:strRef>
              <c:f>'1. Charts'!$B$35:$K$35</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Charts'!$B$38:$K$38</c:f>
              <c:numCache>
                <c:formatCode>#,##0.0_ ;[Red]\(#,##0.0\)</c:formatCode>
                <c:ptCount val="10"/>
                <c:pt idx="0">
                  <c:v>2.2709999999999999</c:v>
                </c:pt>
                <c:pt idx="1">
                  <c:v>2.395</c:v>
                </c:pt>
                <c:pt idx="2">
                  <c:v>2.7829999999999999</c:v>
                </c:pt>
                <c:pt idx="3">
                  <c:v>2.859</c:v>
                </c:pt>
                <c:pt idx="4">
                  <c:v>3.1549999999999998</c:v>
                </c:pt>
                <c:pt idx="5">
                  <c:v>3.2509999999999999</c:v>
                </c:pt>
                <c:pt idx="6">
                  <c:v>3.3278640720720718</c:v>
                </c:pt>
                <c:pt idx="7">
                  <c:v>3.5963958940060059</c:v>
                </c:pt>
                <c:pt idx="8">
                  <c:v>3.6007281237348709</c:v>
                </c:pt>
                <c:pt idx="9">
                  <c:v>3.5946114199412205</c:v>
                </c:pt>
              </c:numCache>
            </c:numRef>
          </c:val>
          <c:extLst>
            <c:ext xmlns:c16="http://schemas.microsoft.com/office/drawing/2014/chart" uri="{C3380CC4-5D6E-409C-BE32-E72D297353CC}">
              <c16:uniqueId val="{00000002-0E8C-4986-AA89-BC1ADBE74267}"/>
            </c:ext>
          </c:extLst>
        </c:ser>
        <c:dLbls>
          <c:showLegendKey val="0"/>
          <c:showVal val="0"/>
          <c:showCatName val="0"/>
          <c:showSerName val="0"/>
          <c:showPercent val="0"/>
          <c:showBubbleSize val="0"/>
        </c:dLbls>
        <c:gapWidth val="100"/>
        <c:overlap val="100"/>
        <c:axId val="494290511"/>
        <c:axId val="494299631"/>
      </c:barChart>
      <c:lineChart>
        <c:grouping val="standard"/>
        <c:varyColors val="0"/>
        <c:ser>
          <c:idx val="3"/>
          <c:order val="3"/>
          <c:tx>
            <c:strRef>
              <c:f>'1. Charts'!$A$39</c:f>
              <c:strCache>
                <c:ptCount val="1"/>
                <c:pt idx="0">
                  <c:v>Operating revenue ($m)</c:v>
                </c:pt>
              </c:strCache>
            </c:strRef>
          </c:tx>
          <c:spPr>
            <a:ln w="28575" cap="rnd">
              <a:solidFill>
                <a:schemeClr val="accent6">
                  <a:lumMod val="75000"/>
                </a:schemeClr>
              </a:solidFill>
              <a:round/>
            </a:ln>
            <a:effectLst/>
          </c:spPr>
          <c:marker>
            <c:symbol val="none"/>
          </c:marker>
          <c:cat>
            <c:strRef>
              <c:f>'1. Charts'!$B$35:$K$35</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Charts'!$B$39:$K$39</c:f>
              <c:numCache>
                <c:formatCode>#,##0.0_ ;[Red]\(#,##0.0\)</c:formatCode>
                <c:ptCount val="10"/>
                <c:pt idx="0">
                  <c:v>6.88</c:v>
                </c:pt>
                <c:pt idx="1">
                  <c:v>8.3040000000000003</c:v>
                </c:pt>
                <c:pt idx="2">
                  <c:v>9.4740000000000002</c:v>
                </c:pt>
                <c:pt idx="3">
                  <c:v>10.322915701250452</c:v>
                </c:pt>
                <c:pt idx="4">
                  <c:v>11.02459154579828</c:v>
                </c:pt>
                <c:pt idx="5">
                  <c:v>11.768135858249638</c:v>
                </c:pt>
                <c:pt idx="6">
                  <c:v>12.472338625423342</c:v>
                </c:pt>
                <c:pt idx="7">
                  <c:v>12.708416996992369</c:v>
                </c:pt>
                <c:pt idx="8">
                  <c:v>13.050677526317335</c:v>
                </c:pt>
                <c:pt idx="9">
                  <c:v>13.279779545789024</c:v>
                </c:pt>
              </c:numCache>
            </c:numRef>
          </c:val>
          <c:smooth val="0"/>
          <c:extLst>
            <c:ext xmlns:c16="http://schemas.microsoft.com/office/drawing/2014/chart" uri="{C3380CC4-5D6E-409C-BE32-E72D297353CC}">
              <c16:uniqueId val="{00000003-0E8C-4986-AA89-BC1ADBE74267}"/>
            </c:ext>
          </c:extLst>
        </c:ser>
        <c:ser>
          <c:idx val="4"/>
          <c:order val="4"/>
          <c:tx>
            <c:strRef>
              <c:f>'1. Charts'!$A$40</c:f>
              <c:strCache>
                <c:ptCount val="1"/>
                <c:pt idx="0">
                  <c:v>Net operating surplus/(deficit) ($m)</c:v>
                </c:pt>
              </c:strCache>
            </c:strRef>
          </c:tx>
          <c:spPr>
            <a:ln w="28575" cap="rnd">
              <a:solidFill>
                <a:srgbClr val="C00000"/>
              </a:solidFill>
              <a:prstDash val="dash"/>
              <a:round/>
            </a:ln>
            <a:effectLst/>
          </c:spPr>
          <c:marker>
            <c:symbol val="none"/>
          </c:marker>
          <c:cat>
            <c:strRef>
              <c:f>'1. Charts'!$B$35:$K$35</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Charts'!$B$40:$K$40</c:f>
              <c:numCache>
                <c:formatCode>#,##0.0_ ;[Red]\(#,##0.0\)</c:formatCode>
                <c:ptCount val="10"/>
                <c:pt idx="0">
                  <c:v>-6.994300000000031E-2</c:v>
                </c:pt>
                <c:pt idx="1">
                  <c:v>0.82000000000000028</c:v>
                </c:pt>
                <c:pt idx="2">
                  <c:v>1.2080000000000002</c:v>
                </c:pt>
                <c:pt idx="3">
                  <c:v>0.74879499959108209</c:v>
                </c:pt>
                <c:pt idx="4">
                  <c:v>0.78930302963338761</c:v>
                </c:pt>
                <c:pt idx="5">
                  <c:v>1.1235279881555886</c:v>
                </c:pt>
                <c:pt idx="6">
                  <c:v>1.4084685813640139</c:v>
                </c:pt>
                <c:pt idx="7">
                  <c:v>1.2421462710507853</c:v>
                </c:pt>
                <c:pt idx="8">
                  <c:v>1.3933534431821979</c:v>
                </c:pt>
                <c:pt idx="9">
                  <c:v>1.4727271305471401</c:v>
                </c:pt>
              </c:numCache>
            </c:numRef>
          </c:val>
          <c:smooth val="0"/>
          <c:extLst>
            <c:ext xmlns:c16="http://schemas.microsoft.com/office/drawing/2014/chart" uri="{C3380CC4-5D6E-409C-BE32-E72D297353CC}">
              <c16:uniqueId val="{00000004-0E8C-4986-AA89-BC1ADBE74267}"/>
            </c:ext>
          </c:extLst>
        </c:ser>
        <c:dLbls>
          <c:showLegendKey val="0"/>
          <c:showVal val="0"/>
          <c:showCatName val="0"/>
          <c:showSerName val="0"/>
          <c:showPercent val="0"/>
          <c:showBubbleSize val="0"/>
        </c:dLbls>
        <c:marker val="1"/>
        <c:smooth val="0"/>
        <c:axId val="494290511"/>
        <c:axId val="494299631"/>
      </c:lineChart>
      <c:catAx>
        <c:axId val="49429051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9631"/>
        <c:crosses val="autoZero"/>
        <c:auto val="1"/>
        <c:lblAlgn val="ctr"/>
        <c:lblOffset val="100"/>
        <c:noMultiLvlLbl val="0"/>
      </c:catAx>
      <c:valAx>
        <c:axId val="4942996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NZ" sz="800"/>
                  <a:t>$m</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_ ;[Red]\(#,##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0511"/>
        <c:crosses val="autoZero"/>
        <c:crossBetween val="between"/>
      </c:valAx>
      <c:spPr>
        <a:noFill/>
        <a:ln>
          <a:noFill/>
        </a:ln>
        <a:effectLst/>
      </c:spPr>
    </c:plotArea>
    <c:legend>
      <c:legendPos val="b"/>
      <c:layout>
        <c:manualLayout>
          <c:xMode val="edge"/>
          <c:yMode val="edge"/>
          <c:x val="1.237463833532459E-2"/>
          <c:y val="0.84578710247396083"/>
          <c:w val="0.98762532808398951"/>
          <c:h val="0.1542130509548375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NZ" sz="1000" b="1" i="0" u="none" strike="noStrike" kern="1200" spc="0" baseline="0">
                <a:solidFill>
                  <a:srgbClr val="00ABC5"/>
                </a:solidFill>
              </a:rPr>
              <a:t>Projected water services FFO to net debt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781299277788633"/>
          <c:y val="0.14861172931128766"/>
          <c:w val="0.75495431879187425"/>
          <c:h val="0.60512505609220379"/>
        </c:manualLayout>
      </c:layout>
      <c:barChart>
        <c:barDir val="col"/>
        <c:grouping val="stacked"/>
        <c:varyColors val="0"/>
        <c:ser>
          <c:idx val="1"/>
          <c:order val="1"/>
          <c:tx>
            <c:strRef>
              <c:f>'1. Charts'!$A$32</c:f>
              <c:strCache>
                <c:ptCount val="1"/>
                <c:pt idx="0">
                  <c:v>Net debt ($000)</c:v>
                </c:pt>
              </c:strCache>
            </c:strRef>
          </c:tx>
          <c:spPr>
            <a:solidFill>
              <a:srgbClr val="C8A5E3"/>
            </a:solidFill>
            <a:ln>
              <a:noFill/>
            </a:ln>
            <a:effectLst/>
          </c:spPr>
          <c:invertIfNegative val="0"/>
          <c:cat>
            <c:strRef>
              <c:f>'1. Charts'!$B$10:$K$10</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Charts'!$B$32:$K$32</c:f>
              <c:numCache>
                <c:formatCode>#,##0\ ;\(#,##0\)</c:formatCode>
                <c:ptCount val="10"/>
                <c:pt idx="0">
                  <c:v>28623.942999999999</c:v>
                </c:pt>
                <c:pt idx="1">
                  <c:v>32028.942999999999</c:v>
                </c:pt>
                <c:pt idx="2">
                  <c:v>34292.942999999999</c:v>
                </c:pt>
                <c:pt idx="3">
                  <c:v>38546.148000408917</c:v>
                </c:pt>
                <c:pt idx="4">
                  <c:v>42193.844970775521</c:v>
                </c:pt>
                <c:pt idx="5">
                  <c:v>45085.258315953266</c:v>
                </c:pt>
                <c:pt idx="6">
                  <c:v>48713.280485628296</c:v>
                </c:pt>
                <c:pt idx="7">
                  <c:v>49745.323320507501</c:v>
                </c:pt>
                <c:pt idx="8">
                  <c:v>51310.605672860322</c:v>
                </c:pt>
                <c:pt idx="9">
                  <c:v>52052.936929609954</c:v>
                </c:pt>
              </c:numCache>
            </c:numRef>
          </c:val>
          <c:extLst>
            <c:ext xmlns:c16="http://schemas.microsoft.com/office/drawing/2014/chart" uri="{C3380CC4-5D6E-409C-BE32-E72D297353CC}">
              <c16:uniqueId val="{00000000-089E-418C-984A-25ACA986A6B4}"/>
            </c:ext>
          </c:extLst>
        </c:ser>
        <c:ser>
          <c:idx val="2"/>
          <c:order val="2"/>
          <c:tx>
            <c:strRef>
              <c:f>'1. Charts'!$A$33</c:f>
              <c:strCache>
                <c:ptCount val="1"/>
                <c:pt idx="0">
                  <c:v>Debt headroom to FFO covenant ($000s)</c:v>
                </c:pt>
              </c:strCache>
            </c:strRef>
          </c:tx>
          <c:spPr>
            <a:solidFill>
              <a:srgbClr val="D9D9D9"/>
            </a:solidFill>
            <a:ln>
              <a:noFill/>
            </a:ln>
            <a:effectLst/>
          </c:spPr>
          <c:invertIfNegative val="0"/>
          <c:cat>
            <c:strRef>
              <c:f>'1. Charts'!$B$10:$K$10</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Charts'!$B$33:$K$33</c:f>
              <c:numCache>
                <c:formatCode>#,##0\ ;\(#,##0\)</c:formatCode>
                <c:ptCount val="10"/>
                <c:pt idx="0">
                  <c:v>2771.1347777777773</c:v>
                </c:pt>
                <c:pt idx="1">
                  <c:v>5109.9458888888912</c:v>
                </c:pt>
                <c:pt idx="2">
                  <c:v>11495.945888888891</c:v>
                </c:pt>
                <c:pt idx="3">
                  <c:v>3007.1297728253339</c:v>
                </c:pt>
                <c:pt idx="4">
                  <c:v>3115.0775807065802</c:v>
                </c:pt>
                <c:pt idx="5">
                  <c:v>5009.4971079977331</c:v>
                </c:pt>
                <c:pt idx="6">
                  <c:v>5412.6378858837779</c:v>
                </c:pt>
                <c:pt idx="7">
                  <c:v>5527.3674023457424</c:v>
                </c:pt>
                <c:pt idx="8">
                  <c:v>5701.4117373293266</c:v>
                </c:pt>
                <c:pt idx="9">
                  <c:v>5784.1580758162818</c:v>
                </c:pt>
              </c:numCache>
            </c:numRef>
          </c:val>
          <c:extLst>
            <c:ext xmlns:c16="http://schemas.microsoft.com/office/drawing/2014/chart" uri="{C3380CC4-5D6E-409C-BE32-E72D297353CC}">
              <c16:uniqueId val="{00000001-089E-418C-984A-25ACA986A6B4}"/>
            </c:ext>
          </c:extLst>
        </c:ser>
        <c:dLbls>
          <c:showLegendKey val="0"/>
          <c:showVal val="0"/>
          <c:showCatName val="0"/>
          <c:showSerName val="0"/>
          <c:showPercent val="0"/>
          <c:showBubbleSize val="0"/>
        </c:dLbls>
        <c:gapWidth val="100"/>
        <c:overlap val="100"/>
        <c:axId val="494290511"/>
        <c:axId val="494299631"/>
      </c:barChart>
      <c:lineChart>
        <c:grouping val="standard"/>
        <c:varyColors val="0"/>
        <c:ser>
          <c:idx val="0"/>
          <c:order val="0"/>
          <c:tx>
            <c:strRef>
              <c:f>'1. Charts'!$A$27</c:f>
              <c:strCache>
                <c:ptCount val="1"/>
                <c:pt idx="0">
                  <c:v>FFO to debt ratio</c:v>
                </c:pt>
              </c:strCache>
            </c:strRef>
          </c:tx>
          <c:spPr>
            <a:ln w="28575" cap="rnd">
              <a:solidFill>
                <a:schemeClr val="accent1"/>
              </a:solidFill>
              <a:round/>
            </a:ln>
            <a:effectLst/>
          </c:spPr>
          <c:marker>
            <c:symbol val="none"/>
          </c:marker>
          <c:cat>
            <c:strRef>
              <c:f>'1. Charts'!$B$10:$K$10</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Charts'!$B$27:$K$27</c:f>
              <c:numCache>
                <c:formatCode>#,##0.0%\ ;\(#,##0.0%\)</c:formatCode>
                <c:ptCount val="10"/>
                <c:pt idx="0">
                  <c:v>9.8713059902334199E-2</c:v>
                </c:pt>
                <c:pt idx="1">
                  <c:v>0.10435873578469324</c:v>
                </c:pt>
                <c:pt idx="2">
                  <c:v>0.12017049688619609</c:v>
                </c:pt>
                <c:pt idx="3">
                  <c:v>9.7021238011938529E-2</c:v>
                </c:pt>
                <c:pt idx="4">
                  <c:v>9.664449951071713E-2</c:v>
                </c:pt>
                <c:pt idx="5">
                  <c:v>0.10000004783293573</c:v>
                </c:pt>
                <c:pt idx="6">
                  <c:v>0.10000009453014068</c:v>
                </c:pt>
                <c:pt idx="7">
                  <c:v>0.10000019766694404</c:v>
                </c:pt>
                <c:pt idx="8">
                  <c:v>0.10000040926492214</c:v>
                </c:pt>
                <c:pt idx="9">
                  <c:v>0.10000086176746234</c:v>
                </c:pt>
              </c:numCache>
            </c:numRef>
          </c:val>
          <c:smooth val="0"/>
          <c:extLst>
            <c:ext xmlns:c16="http://schemas.microsoft.com/office/drawing/2014/chart" uri="{C3380CC4-5D6E-409C-BE32-E72D297353CC}">
              <c16:uniqueId val="{00000002-089E-418C-984A-25ACA986A6B4}"/>
            </c:ext>
          </c:extLst>
        </c:ser>
        <c:ser>
          <c:idx val="5"/>
          <c:order val="3"/>
          <c:tx>
            <c:strRef>
              <c:f>'1. Charts'!$A$30</c:f>
              <c:strCache>
                <c:ptCount val="1"/>
                <c:pt idx="0">
                  <c:v>Water services FFO covenant (LGFA)</c:v>
                </c:pt>
              </c:strCache>
            </c:strRef>
          </c:tx>
          <c:spPr>
            <a:ln w="28575" cap="rnd">
              <a:solidFill>
                <a:srgbClr val="C00000"/>
              </a:solidFill>
              <a:prstDash val="dash"/>
              <a:round/>
            </a:ln>
            <a:effectLst/>
          </c:spPr>
          <c:marker>
            <c:symbol val="none"/>
          </c:marker>
          <c:cat>
            <c:strRef>
              <c:f>'1. Charts'!$B$10:$K$10</c:f>
              <c:strCache>
                <c:ptCount val="10"/>
                <c:pt idx="0">
                  <c:v>FY24/25</c:v>
                </c:pt>
                <c:pt idx="1">
                  <c:v>FY25/26</c:v>
                </c:pt>
                <c:pt idx="2">
                  <c:v>FY26/27</c:v>
                </c:pt>
                <c:pt idx="3">
                  <c:v>FY27/28</c:v>
                </c:pt>
                <c:pt idx="4">
                  <c:v>FY28/29</c:v>
                </c:pt>
                <c:pt idx="5">
                  <c:v>FY29/30</c:v>
                </c:pt>
                <c:pt idx="6">
                  <c:v>FY30/31</c:v>
                </c:pt>
                <c:pt idx="7">
                  <c:v>FY31/32</c:v>
                </c:pt>
                <c:pt idx="8">
                  <c:v>FY32/33</c:v>
                </c:pt>
                <c:pt idx="9">
                  <c:v>FY33/34</c:v>
                </c:pt>
              </c:strCache>
            </c:strRef>
          </c:cat>
          <c:val>
            <c:numRef>
              <c:f>'1. Charts'!$B$30:$K$30</c:f>
              <c:numCache>
                <c:formatCode>#,##0.0%\ ;\(#,##0.0%\)</c:formatCode>
                <c:ptCount val="10"/>
                <c:pt idx="0">
                  <c:v>0.09</c:v>
                </c:pt>
                <c:pt idx="1">
                  <c:v>0.09</c:v>
                </c:pt>
                <c:pt idx="2">
                  <c:v>0.09</c:v>
                </c:pt>
                <c:pt idx="3">
                  <c:v>0.09</c:v>
                </c:pt>
                <c:pt idx="4">
                  <c:v>0.09</c:v>
                </c:pt>
                <c:pt idx="5">
                  <c:v>0.09</c:v>
                </c:pt>
                <c:pt idx="6">
                  <c:v>0.09</c:v>
                </c:pt>
                <c:pt idx="7">
                  <c:v>0.09</c:v>
                </c:pt>
                <c:pt idx="8">
                  <c:v>0.09</c:v>
                </c:pt>
                <c:pt idx="9">
                  <c:v>0.09</c:v>
                </c:pt>
              </c:numCache>
            </c:numRef>
          </c:val>
          <c:smooth val="0"/>
          <c:extLst>
            <c:ext xmlns:c16="http://schemas.microsoft.com/office/drawing/2014/chart" uri="{C3380CC4-5D6E-409C-BE32-E72D297353CC}">
              <c16:uniqueId val="{00000003-089E-418C-984A-25ACA986A6B4}"/>
            </c:ext>
          </c:extLst>
        </c:ser>
        <c:dLbls>
          <c:showLegendKey val="0"/>
          <c:showVal val="0"/>
          <c:showCatName val="0"/>
          <c:showSerName val="0"/>
          <c:showPercent val="0"/>
          <c:showBubbleSize val="0"/>
        </c:dLbls>
        <c:marker val="1"/>
        <c:smooth val="0"/>
        <c:axId val="494276591"/>
        <c:axId val="494290991"/>
      </c:lineChart>
      <c:catAx>
        <c:axId val="49429051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9631"/>
        <c:crosses val="autoZero"/>
        <c:auto val="1"/>
        <c:lblAlgn val="ctr"/>
        <c:lblOffset val="100"/>
        <c:noMultiLvlLbl val="0"/>
      </c:catAx>
      <c:valAx>
        <c:axId val="4942996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NZ" sz="800"/>
                  <a:t>$m</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_ ;[Red]\(#,##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0511"/>
        <c:crosses val="autoZero"/>
        <c:crossBetween val="between"/>
      </c:valAx>
      <c:valAx>
        <c:axId val="494290991"/>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sz="800"/>
                  <a:t>FFO to net debt</a:t>
                </a:r>
              </a:p>
            </c:rich>
          </c:tx>
          <c:layout>
            <c:manualLayout>
              <c:xMode val="edge"/>
              <c:yMode val="edge"/>
              <c:x val="0.94833528207744522"/>
              <c:y val="0.19552933781223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76591"/>
        <c:crosses val="max"/>
        <c:crossBetween val="between"/>
      </c:valAx>
      <c:catAx>
        <c:axId val="494276591"/>
        <c:scaling>
          <c:orientation val="minMax"/>
        </c:scaling>
        <c:delete val="1"/>
        <c:axPos val="b"/>
        <c:numFmt formatCode="General" sourceLinked="1"/>
        <c:majorTickMark val="out"/>
        <c:minorTickMark val="none"/>
        <c:tickLblPos val="nextTo"/>
        <c:crossAx val="494290991"/>
        <c:crosses val="autoZero"/>
        <c:auto val="1"/>
        <c:lblAlgn val="ctr"/>
        <c:lblOffset val="100"/>
        <c:noMultiLvlLbl val="0"/>
      </c:catAx>
      <c:spPr>
        <a:noFill/>
        <a:ln>
          <a:noFill/>
        </a:ln>
        <a:effectLst/>
      </c:spPr>
    </c:plotArea>
    <c:legend>
      <c:legendPos val="b"/>
      <c:layout>
        <c:manualLayout>
          <c:xMode val="edge"/>
          <c:yMode val="edge"/>
          <c:x val="8.2222004201492074E-2"/>
          <c:y val="0.84578667891593939"/>
          <c:w val="0.87362826570560925"/>
          <c:h val="0.12796325218190169"/>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616650</xdr:colOff>
      <xdr:row>51</xdr:row>
      <xdr:rowOff>37543</xdr:rowOff>
    </xdr:from>
    <xdr:to>
      <xdr:col>4</xdr:col>
      <xdr:colOff>808590</xdr:colOff>
      <xdr:row>66</xdr:row>
      <xdr:rowOff>47343</xdr:rowOff>
    </xdr:to>
    <xdr:graphicFrame macro="">
      <xdr:nvGraphicFramePr>
        <xdr:cNvPr id="2" name="Chart 1">
          <a:extLst>
            <a:ext uri="{FF2B5EF4-FFF2-40B4-BE49-F238E27FC236}">
              <a16:creationId xmlns:a16="http://schemas.microsoft.com/office/drawing/2014/main" id="{E9F9FDE6-010B-4902-AD2E-1CF9105532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137685</xdr:colOff>
      <xdr:row>52</xdr:row>
      <xdr:rowOff>69218</xdr:rowOff>
    </xdr:from>
    <xdr:to>
      <xdr:col>10</xdr:col>
      <xdr:colOff>305518</xdr:colOff>
      <xdr:row>67</xdr:row>
      <xdr:rowOff>91718</xdr:rowOff>
    </xdr:to>
    <xdr:graphicFrame macro="">
      <xdr:nvGraphicFramePr>
        <xdr:cNvPr id="3" name="Chart 2">
          <a:extLst>
            <a:ext uri="{FF2B5EF4-FFF2-40B4-BE49-F238E27FC236}">
              <a16:creationId xmlns:a16="http://schemas.microsoft.com/office/drawing/2014/main" id="{A132C88F-62FF-4035-8D37-B94F3EF5C5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566001</xdr:colOff>
      <xdr:row>65</xdr:row>
      <xdr:rowOff>102665</xdr:rowOff>
    </xdr:from>
    <xdr:to>
      <xdr:col>4</xdr:col>
      <xdr:colOff>757941</xdr:colOff>
      <xdr:row>80</xdr:row>
      <xdr:rowOff>106115</xdr:rowOff>
    </xdr:to>
    <xdr:graphicFrame macro="">
      <xdr:nvGraphicFramePr>
        <xdr:cNvPr id="4" name="Chart 3">
          <a:extLst>
            <a:ext uri="{FF2B5EF4-FFF2-40B4-BE49-F238E27FC236}">
              <a16:creationId xmlns:a16="http://schemas.microsoft.com/office/drawing/2014/main" id="{D2977B05-9106-4E9C-9A51-1D9469004A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798154</xdr:colOff>
      <xdr:row>68</xdr:row>
      <xdr:rowOff>64909</xdr:rowOff>
    </xdr:from>
    <xdr:to>
      <xdr:col>10</xdr:col>
      <xdr:colOff>125801</xdr:colOff>
      <xdr:row>83</xdr:row>
      <xdr:rowOff>87410</xdr:rowOff>
    </xdr:to>
    <xdr:graphicFrame macro="">
      <xdr:nvGraphicFramePr>
        <xdr:cNvPr id="5" name="Chart 4">
          <a:extLst>
            <a:ext uri="{FF2B5EF4-FFF2-40B4-BE49-F238E27FC236}">
              <a16:creationId xmlns:a16="http://schemas.microsoft.com/office/drawing/2014/main" id="{ACB4551B-54B2-491D-8EF2-F7542C4FEF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1093280</xdr:colOff>
      <xdr:row>81</xdr:row>
      <xdr:rowOff>77878</xdr:rowOff>
    </xdr:from>
    <xdr:to>
      <xdr:col>4</xdr:col>
      <xdr:colOff>745924</xdr:colOff>
      <xdr:row>99</xdr:row>
      <xdr:rowOff>68891</xdr:rowOff>
    </xdr:to>
    <xdr:graphicFrame macro="">
      <xdr:nvGraphicFramePr>
        <xdr:cNvPr id="6" name="Chart 5">
          <a:extLst>
            <a:ext uri="{FF2B5EF4-FFF2-40B4-BE49-F238E27FC236}">
              <a16:creationId xmlns:a16="http://schemas.microsoft.com/office/drawing/2014/main" id="{BE346B3F-4D5F-4E36-9F82-215A75A150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2EDCF-6D71-4AF2-B011-B990D310FEA6}">
  <sheetPr codeName="Sheet25">
    <pageSetUpPr fitToPage="1"/>
  </sheetPr>
  <dimension ref="A1:Q50"/>
  <sheetViews>
    <sheetView zoomScale="105" workbookViewId="0">
      <selection activeCell="C12" sqref="C12:E12"/>
    </sheetView>
  </sheetViews>
  <sheetFormatPr defaultColWidth="6.6328125" defaultRowHeight="10.5"/>
  <cols>
    <col min="1" max="1" width="58.26953125" style="1" customWidth="1"/>
    <col min="2" max="2" width="1.54296875" style="1" customWidth="1"/>
    <col min="3" max="12" width="13.1796875" style="1" customWidth="1"/>
    <col min="13" max="14" width="6.6328125" style="1"/>
    <col min="15" max="15" width="9.453125" style="1" customWidth="1"/>
    <col min="16" max="16384" width="6.6328125" style="1"/>
  </cols>
  <sheetData>
    <row r="1" spans="1:17">
      <c r="A1" s="113" t="s">
        <v>0</v>
      </c>
      <c r="B1" s="114"/>
      <c r="C1" s="114"/>
      <c r="D1" s="114"/>
      <c r="E1" s="114"/>
    </row>
    <row r="2" spans="1:17" ht="11" thickBot="1">
      <c r="Q2" s="2"/>
    </row>
    <row r="3" spans="1:17" ht="29.9" customHeight="1" thickBot="1">
      <c r="A3" s="3" t="s">
        <v>1</v>
      </c>
      <c r="C3" s="4" t="s">
        <v>2</v>
      </c>
      <c r="D3" s="4" t="s">
        <v>3</v>
      </c>
      <c r="E3" s="4" t="s">
        <v>4</v>
      </c>
      <c r="F3" s="4" t="s">
        <v>5</v>
      </c>
    </row>
    <row r="4" spans="1:17" ht="31.4" customHeight="1" thickBot="1">
      <c r="A4" s="5" t="s">
        <v>6</v>
      </c>
      <c r="C4" s="6">
        <v>3080</v>
      </c>
      <c r="D4" s="6">
        <v>3023</v>
      </c>
      <c r="E4" s="6">
        <v>2863</v>
      </c>
      <c r="F4" s="6">
        <f>(C4+D4+E4)/3</f>
        <v>2988.6666666666665</v>
      </c>
    </row>
    <row r="5" spans="1:17" ht="11" thickBot="1">
      <c r="A5" s="5" t="s">
        <v>7</v>
      </c>
      <c r="C5" s="7">
        <v>1.424422587904739E-2</v>
      </c>
      <c r="D5" s="7">
        <v>1.432497647865616E-2</v>
      </c>
      <c r="E5" s="7">
        <v>1.4054904137933866E-2</v>
      </c>
      <c r="F5" s="7">
        <f>SUMPRODUCT(C4:E4,C5:E5)/SUM(C4:E4)</f>
        <v>1.4210998232137877E-2</v>
      </c>
    </row>
    <row r="6" spans="1:17" ht="11" thickBot="1">
      <c r="A6" s="5" t="s">
        <v>8</v>
      </c>
      <c r="C6" s="8">
        <v>1</v>
      </c>
      <c r="D6" s="8">
        <v>1</v>
      </c>
      <c r="E6" s="8">
        <v>1</v>
      </c>
      <c r="F6" s="8">
        <f>AVERAGE(C6:E6)</f>
        <v>1</v>
      </c>
    </row>
    <row r="7" spans="1:17" ht="11" thickBot="1">
      <c r="A7" s="5" t="s">
        <v>9</v>
      </c>
      <c r="C7" s="6">
        <v>26073</v>
      </c>
      <c r="D7" s="6">
        <v>34824</v>
      </c>
      <c r="E7" s="6">
        <v>9206</v>
      </c>
      <c r="F7" s="6">
        <f>SUM(C7:E7)</f>
        <v>70103</v>
      </c>
    </row>
    <row r="8" spans="1:17" ht="11" thickBot="1">
      <c r="A8" s="5" t="s">
        <v>10</v>
      </c>
      <c r="C8" s="6">
        <v>0</v>
      </c>
      <c r="D8" s="6">
        <v>0</v>
      </c>
      <c r="E8" s="6">
        <v>0</v>
      </c>
      <c r="F8" s="6">
        <f>SUM(C8:E8)</f>
        <v>0</v>
      </c>
    </row>
    <row r="9" spans="1:17" ht="11" thickBot="1">
      <c r="A9" s="5" t="s">
        <v>11</v>
      </c>
      <c r="C9" s="6">
        <v>89</v>
      </c>
      <c r="D9" s="6">
        <v>166</v>
      </c>
      <c r="E9" s="6">
        <v>1360</v>
      </c>
      <c r="F9" s="6">
        <f>SUM(C9:E9)</f>
        <v>1615</v>
      </c>
    </row>
    <row r="10" spans="1:17" ht="11" thickBot="1">
      <c r="A10" s="5" t="s">
        <v>12</v>
      </c>
      <c r="C10" s="6">
        <v>4978</v>
      </c>
      <c r="D10" s="6">
        <v>22504</v>
      </c>
      <c r="E10" s="6">
        <v>77</v>
      </c>
      <c r="F10" s="6">
        <f>SUM(C10:E10)</f>
        <v>27559</v>
      </c>
    </row>
    <row r="11" spans="1:17" ht="11" thickBot="1">
      <c r="A11" s="5" t="s">
        <v>13</v>
      </c>
      <c r="C11" s="9">
        <v>5</v>
      </c>
      <c r="D11" s="9">
        <v>5</v>
      </c>
      <c r="E11" s="9">
        <v>5</v>
      </c>
      <c r="F11" s="9">
        <v>5</v>
      </c>
    </row>
    <row r="12" spans="1:17" ht="11" thickBot="1">
      <c r="A12" s="5" t="s">
        <v>14</v>
      </c>
      <c r="C12" s="6">
        <v>0</v>
      </c>
      <c r="D12" s="6">
        <v>0</v>
      </c>
      <c r="E12" s="6">
        <v>0</v>
      </c>
      <c r="F12" s="6">
        <f>SUM(C12:E12)</f>
        <v>0</v>
      </c>
    </row>
    <row r="13" spans="1:17" ht="11" thickBot="1">
      <c r="A13" s="5" t="s">
        <v>15</v>
      </c>
      <c r="C13" s="6">
        <v>42228</v>
      </c>
      <c r="D13" s="6">
        <v>29507</v>
      </c>
      <c r="E13" s="6">
        <v>13731</v>
      </c>
      <c r="F13" s="6">
        <f>SUM(C13:E13)</f>
        <v>85466</v>
      </c>
    </row>
    <row r="14" spans="1:17" ht="11" thickBot="1">
      <c r="A14" s="5" t="s">
        <v>16</v>
      </c>
      <c r="C14" s="9">
        <v>0.5</v>
      </c>
      <c r="D14" s="9">
        <v>0.5</v>
      </c>
      <c r="E14" s="9">
        <v>0.5</v>
      </c>
      <c r="F14" s="9">
        <v>0.5</v>
      </c>
    </row>
    <row r="15" spans="1:17" ht="11" thickBot="1">
      <c r="A15" s="5" t="s">
        <v>17</v>
      </c>
      <c r="C15" s="9">
        <v>0.09</v>
      </c>
      <c r="D15" s="9">
        <v>0.09</v>
      </c>
      <c r="E15" s="9">
        <v>0.09</v>
      </c>
      <c r="F15" s="9">
        <v>0.09</v>
      </c>
    </row>
    <row r="16" spans="1:17" ht="11" thickBot="1"/>
    <row r="17" spans="1:15" ht="11" thickBot="1">
      <c r="A17" s="3" t="s">
        <v>18</v>
      </c>
      <c r="C17" s="4" t="s">
        <v>19</v>
      </c>
      <c r="D17" s="4" t="s">
        <v>20</v>
      </c>
      <c r="E17" s="4" t="s">
        <v>21</v>
      </c>
      <c r="F17" s="4" t="s">
        <v>22</v>
      </c>
      <c r="G17" s="4" t="s">
        <v>23</v>
      </c>
      <c r="H17" s="4" t="s">
        <v>24</v>
      </c>
      <c r="I17" s="4" t="s">
        <v>25</v>
      </c>
      <c r="J17" s="4" t="s">
        <v>26</v>
      </c>
      <c r="K17" s="4" t="s">
        <v>27</v>
      </c>
      <c r="L17" s="4" t="s">
        <v>28</v>
      </c>
      <c r="O17" s="4" t="s">
        <v>29</v>
      </c>
    </row>
    <row r="18" spans="1:15" ht="11" thickBot="1">
      <c r="A18" s="5" t="s">
        <v>30</v>
      </c>
      <c r="C18" s="6">
        <v>1344</v>
      </c>
      <c r="D18" s="6">
        <v>1054</v>
      </c>
      <c r="E18" s="6">
        <v>1219</v>
      </c>
      <c r="F18" s="6">
        <v>1227</v>
      </c>
      <c r="G18" s="6">
        <v>1362</v>
      </c>
      <c r="H18" s="6">
        <v>1451</v>
      </c>
      <c r="I18" s="6">
        <v>1554.9282937929047</v>
      </c>
      <c r="J18" s="6">
        <v>1757.6813153104508</v>
      </c>
      <c r="K18" s="6">
        <v>1816.3290457358023</v>
      </c>
      <c r="L18" s="6">
        <v>1810.7399497736103</v>
      </c>
      <c r="O18" s="10">
        <v>1344</v>
      </c>
    </row>
    <row r="19" spans="1:15" ht="11" thickBot="1">
      <c r="A19" s="5" t="s">
        <v>31</v>
      </c>
      <c r="C19" s="6">
        <v>778</v>
      </c>
      <c r="D19" s="6">
        <v>1190</v>
      </c>
      <c r="E19" s="6">
        <v>1392</v>
      </c>
      <c r="F19" s="6">
        <v>1444</v>
      </c>
      <c r="G19" s="6">
        <v>1573</v>
      </c>
      <c r="H19" s="6">
        <v>1580</v>
      </c>
      <c r="I19" s="6">
        <v>1552.9381926295746</v>
      </c>
      <c r="J19" s="6">
        <v>1603.7253088197824</v>
      </c>
      <c r="K19" s="6">
        <v>1549.4216690517353</v>
      </c>
      <c r="L19" s="6">
        <v>1548.913896101159</v>
      </c>
      <c r="O19" s="10">
        <v>778</v>
      </c>
    </row>
    <row r="20" spans="1:15" ht="11" thickBot="1">
      <c r="A20" s="5" t="s">
        <v>32</v>
      </c>
      <c r="C20" s="6">
        <v>149</v>
      </c>
      <c r="D20" s="6">
        <v>151</v>
      </c>
      <c r="E20" s="6">
        <v>172</v>
      </c>
      <c r="F20" s="6">
        <v>188</v>
      </c>
      <c r="G20" s="6">
        <v>220</v>
      </c>
      <c r="H20" s="6">
        <v>220</v>
      </c>
      <c r="I20" s="6">
        <v>219.99758564959276</v>
      </c>
      <c r="J20" s="6">
        <v>234.98926987577275</v>
      </c>
      <c r="K20" s="6">
        <v>234.9774089473334</v>
      </c>
      <c r="L20" s="6">
        <v>234.95757406645151</v>
      </c>
      <c r="O20" s="10">
        <v>149</v>
      </c>
    </row>
    <row r="21" spans="1:15" ht="11" thickBot="1"/>
    <row r="22" spans="1:15" ht="11" thickBot="1">
      <c r="A22" s="3" t="s">
        <v>33</v>
      </c>
      <c r="C22" s="4" t="s">
        <v>19</v>
      </c>
      <c r="D22" s="4" t="s">
        <v>20</v>
      </c>
      <c r="E22" s="4" t="s">
        <v>21</v>
      </c>
      <c r="F22" s="4" t="s">
        <v>22</v>
      </c>
      <c r="G22" s="4" t="s">
        <v>23</v>
      </c>
      <c r="H22" s="4" t="s">
        <v>24</v>
      </c>
      <c r="I22" s="4" t="s">
        <v>25</v>
      </c>
      <c r="J22" s="4" t="s">
        <v>26</v>
      </c>
      <c r="K22" s="4" t="s">
        <v>27</v>
      </c>
      <c r="L22" s="4" t="s">
        <v>28</v>
      </c>
      <c r="O22" s="4" t="s">
        <v>29</v>
      </c>
    </row>
    <row r="23" spans="1:15" ht="11" thickBot="1">
      <c r="A23" s="5" t="s">
        <v>34</v>
      </c>
      <c r="C23" s="6">
        <v>0</v>
      </c>
      <c r="D23" s="6">
        <v>1402.0125839999998</v>
      </c>
      <c r="E23" s="6">
        <v>0</v>
      </c>
      <c r="F23" s="6">
        <v>1542.9574241663959</v>
      </c>
      <c r="G23" s="6">
        <v>0</v>
      </c>
      <c r="H23" s="6">
        <v>1847.0529124050479</v>
      </c>
      <c r="I23" s="6">
        <v>0</v>
      </c>
      <c r="J23" s="6">
        <v>2186.5277809569056</v>
      </c>
      <c r="K23" s="6">
        <v>0</v>
      </c>
      <c r="L23" s="6">
        <v>2465.6384999949851</v>
      </c>
      <c r="O23" s="10">
        <v>0</v>
      </c>
    </row>
    <row r="24" spans="1:15" ht="11" thickBot="1">
      <c r="A24" s="5" t="s">
        <v>35</v>
      </c>
      <c r="C24" s="6">
        <v>0</v>
      </c>
      <c r="D24" s="6">
        <v>1852.8492959999999</v>
      </c>
      <c r="E24" s="6">
        <v>0</v>
      </c>
      <c r="F24" s="6">
        <v>2215.4261250815939</v>
      </c>
      <c r="G24" s="6">
        <v>0</v>
      </c>
      <c r="H24" s="6">
        <v>2533.8792608856402</v>
      </c>
      <c r="I24" s="6">
        <v>0</v>
      </c>
      <c r="J24" s="6">
        <v>2795.6405766770649</v>
      </c>
      <c r="K24" s="6">
        <v>0</v>
      </c>
      <c r="L24" s="6">
        <v>3062.1989021003737</v>
      </c>
      <c r="O24" s="10">
        <v>0</v>
      </c>
    </row>
    <row r="25" spans="1:15" ht="11" thickBot="1">
      <c r="A25" s="5" t="s">
        <v>36</v>
      </c>
      <c r="C25" s="6">
        <v>0</v>
      </c>
      <c r="D25" s="6">
        <v>463.49071199999997</v>
      </c>
      <c r="E25" s="6">
        <v>0</v>
      </c>
      <c r="F25" s="6">
        <v>477.07713931519874</v>
      </c>
      <c r="G25" s="6">
        <v>0</v>
      </c>
      <c r="H25" s="6">
        <v>497.11936542523256</v>
      </c>
      <c r="I25" s="6">
        <v>0</v>
      </c>
      <c r="J25" s="6">
        <v>497.94750475779784</v>
      </c>
      <c r="K25" s="6">
        <v>0</v>
      </c>
      <c r="L25" s="6">
        <v>499.19276684151595</v>
      </c>
      <c r="O25" s="10">
        <v>0</v>
      </c>
    </row>
    <row r="26" spans="1:15" ht="11" thickBot="1"/>
    <row r="27" spans="1:15" ht="11" thickBot="1">
      <c r="A27" s="3" t="s">
        <v>37</v>
      </c>
      <c r="C27" s="4" t="s">
        <v>19</v>
      </c>
      <c r="D27" s="4" t="s">
        <v>20</v>
      </c>
      <c r="E27" s="4" t="s">
        <v>21</v>
      </c>
      <c r="F27" s="4" t="s">
        <v>22</v>
      </c>
      <c r="G27" s="4" t="s">
        <v>23</v>
      </c>
      <c r="H27" s="4" t="s">
        <v>24</v>
      </c>
      <c r="I27" s="4" t="s">
        <v>25</v>
      </c>
      <c r="J27" s="4" t="s">
        <v>26</v>
      </c>
      <c r="K27" s="4" t="s">
        <v>27</v>
      </c>
      <c r="L27" s="4" t="s">
        <v>28</v>
      </c>
    </row>
    <row r="28" spans="1:15" ht="11" thickBot="1">
      <c r="A28" s="5" t="s">
        <v>38</v>
      </c>
      <c r="C28" s="6">
        <f>$C$13+C23/$O39+SUM('5. Financials - drinking water'!E$28:E$30)</f>
        <v>45198</v>
      </c>
      <c r="D28" s="6">
        <f>C28+D23/C39+SUM('5. Financials - drinking water'!F$28:F$30)</f>
        <v>50195.741968000002</v>
      </c>
      <c r="E28" s="6">
        <f>D28+E23/D39+SUM('5. Financials - drinking water'!G$28:G$30)</f>
        <v>51765.741968000002</v>
      </c>
      <c r="F28" s="6">
        <f>E28+F23/E39+SUM('5. Financials - drinking water'!H$28:H$30)</f>
        <v>56729.322769612794</v>
      </c>
      <c r="G28" s="6">
        <f>F28+G23/F39+SUM('5. Financials - drinking water'!I$28:I$30)</f>
        <v>61510.322769612794</v>
      </c>
      <c r="H28" s="6">
        <f>G28+H23/G39+SUM('5. Financials - drinking water'!J$28:J$30)</f>
        <v>68868.928519660534</v>
      </c>
      <c r="I28" s="6">
        <f>H28+I23/H39+SUM('5. Financials - drinking water'!K$28:K$30)</f>
        <v>73493.209379738691</v>
      </c>
      <c r="J28" s="6">
        <f>I28+J23/I39+SUM('5. Financials - drinking water'!L$28:L$30)</f>
        <v>80187.315748316265</v>
      </c>
      <c r="K28" s="6">
        <f>J28+K23/J39+SUM('5. Financials - drinking water'!M$28:M$30)</f>
        <v>84194.271844311501</v>
      </c>
      <c r="L28" s="6">
        <f>K28+L23/K39+SUM('5. Financials - drinking water'!N$28:N$30)</f>
        <v>91591.720744489416</v>
      </c>
    </row>
    <row r="29" spans="1:15" ht="11" thickBot="1">
      <c r="A29" s="5" t="s">
        <v>39</v>
      </c>
      <c r="C29" s="6">
        <f>$D$13+C24/$O40+SUM('6. Financials - wastewater'!E$28:E$30)</f>
        <v>32067</v>
      </c>
      <c r="D29" s="6">
        <f>C29+D24/C40+SUM('6. Financials - wastewater'!F$28:F$30)</f>
        <v>37855.103272</v>
      </c>
      <c r="E29" s="6">
        <f>D29+E24/D40+SUM('6. Financials - wastewater'!G$28:G$30)</f>
        <v>42479.103272</v>
      </c>
      <c r="F29" s="6">
        <f>E29+F24/E40+SUM('6. Financials - wastewater'!H$28:H$30)</f>
        <v>48900.066794291197</v>
      </c>
      <c r="G29" s="6">
        <f>F29+G24/F40+SUM('6. Financials - wastewater'!I$28:I$30)</f>
        <v>51808.066794291197</v>
      </c>
      <c r="H29" s="6">
        <f>G29+H24/G40+SUM('6. Financials - wastewater'!J$28:J$30)</f>
        <v>57432.173161876548</v>
      </c>
      <c r="I29" s="6">
        <f>H29+I24/H40+SUM('6. Financials - wastewater'!K$28:K$30)</f>
        <v>61442.247124909503</v>
      </c>
      <c r="J29" s="6">
        <f>I29+J24/I40+SUM('6. Financials - wastewater'!L$28:L$30)</f>
        <v>67445.394558316155</v>
      </c>
      <c r="K29" s="6">
        <f>J29+K24/J40+SUM('6. Financials - wastewater'!M$28:M$30)</f>
        <v>70271.802381590795</v>
      </c>
      <c r="L29" s="6">
        <f>K29+L24/K40+SUM('6. Financials - wastewater'!N$28:N$30)</f>
        <v>76463.60059617387</v>
      </c>
    </row>
    <row r="30" spans="1:15" ht="11" thickBot="1">
      <c r="A30" s="5" t="s">
        <v>40</v>
      </c>
      <c r="C30" s="6">
        <f>$E$13+C25/$O41+SUM('7. Financials - stormwater'!E$28:E$30)</f>
        <v>13831</v>
      </c>
      <c r="D30" s="6">
        <f>C30+D25/C41+SUM('7. Financials - stormwater'!F$28:F$30)</f>
        <v>14531.069896000001</v>
      </c>
      <c r="E30" s="6">
        <f>D30+E25/D41+SUM('7. Financials - stormwater'!G$28:G$30)</f>
        <v>14852.069896000001</v>
      </c>
      <c r="F30" s="6">
        <f>E30+F25/E41+SUM('7. Financials - stormwater'!H$28:H$30)</f>
        <v>15753.732562841598</v>
      </c>
      <c r="G30" s="6">
        <f>F30+G25/F41+SUM('7. Financials - stormwater'!I$28:I$30)</f>
        <v>15923.732562841598</v>
      </c>
      <c r="H30" s="6">
        <f>G30+H25/G41+SUM('7. Financials - stormwater'!J$28:J$30)</f>
        <v>16885.371036028406</v>
      </c>
      <c r="I30" s="6">
        <f>H30+I25/H41+SUM('7. Financials - stormwater'!K$28:K$30)</f>
        <v>16885.371036028406</v>
      </c>
      <c r="J30" s="6">
        <f>I30+J25/I41+SUM('7. Financials - stormwater'!L$28:L$30)</f>
        <v>17705.545583916373</v>
      </c>
      <c r="K30" s="6">
        <f>J30+K25/J41+SUM('7. Financials - stormwater'!M$28:M$30)</f>
        <v>17705.545583916373</v>
      </c>
      <c r="L30" s="6">
        <f>K30+L25/K41+SUM('7. Financials - stormwater'!N$28:N$30)</f>
        <v>18565.362437186381</v>
      </c>
    </row>
    <row r="31" spans="1:15" ht="11" thickBot="1">
      <c r="A31" s="11" t="s">
        <v>41</v>
      </c>
      <c r="C31" s="12">
        <f t="shared" ref="C31:L31" si="0">SUM(C28:C30)</f>
        <v>91096</v>
      </c>
      <c r="D31" s="12">
        <f t="shared" si="0"/>
        <v>102581.915136</v>
      </c>
      <c r="E31" s="12">
        <f t="shared" si="0"/>
        <v>109096.915136</v>
      </c>
      <c r="F31" s="12">
        <f t="shared" si="0"/>
        <v>121383.1221267456</v>
      </c>
      <c r="G31" s="12">
        <f t="shared" si="0"/>
        <v>129242.1221267456</v>
      </c>
      <c r="H31" s="12">
        <f t="shared" si="0"/>
        <v>143186.47271756548</v>
      </c>
      <c r="I31" s="12">
        <f t="shared" si="0"/>
        <v>151820.8275406766</v>
      </c>
      <c r="J31" s="12">
        <f t="shared" si="0"/>
        <v>165338.25589054878</v>
      </c>
      <c r="K31" s="12">
        <f t="shared" si="0"/>
        <v>172171.61980981866</v>
      </c>
      <c r="L31" s="12">
        <f t="shared" si="0"/>
        <v>186620.68377784968</v>
      </c>
    </row>
    <row r="32" spans="1:15" ht="11" thickBot="1"/>
    <row r="33" spans="1:15" ht="11" thickBot="1">
      <c r="A33" s="3" t="s">
        <v>42</v>
      </c>
      <c r="C33" s="4" t="s">
        <v>19</v>
      </c>
      <c r="D33" s="4" t="s">
        <v>20</v>
      </c>
      <c r="E33" s="4" t="s">
        <v>21</v>
      </c>
      <c r="F33" s="4" t="s">
        <v>22</v>
      </c>
      <c r="G33" s="4" t="s">
        <v>23</v>
      </c>
      <c r="H33" s="4" t="s">
        <v>24</v>
      </c>
      <c r="I33" s="4" t="s">
        <v>25</v>
      </c>
      <c r="J33" s="4" t="s">
        <v>26</v>
      </c>
      <c r="K33" s="4" t="s">
        <v>27</v>
      </c>
      <c r="L33" s="4" t="s">
        <v>28</v>
      </c>
    </row>
    <row r="34" spans="1:15" ht="11" thickBot="1">
      <c r="A34" s="5" t="s">
        <v>43</v>
      </c>
      <c r="C34" s="6">
        <f>'5. Financials - drinking water'!E$82</f>
        <v>27699</v>
      </c>
      <c r="D34" s="6">
        <f>'5. Financials - drinking water'!F$82</f>
        <v>30757.012584</v>
      </c>
      <c r="E34" s="6">
        <f>'5. Financials - drinking water'!G$82</f>
        <v>31108.012584</v>
      </c>
      <c r="F34" s="6">
        <f>'5. Financials - drinking water'!H$82</f>
        <v>33819.970008166398</v>
      </c>
      <c r="G34" s="6">
        <f>'5. Financials - drinking water'!I$82</f>
        <v>37238.970008166398</v>
      </c>
      <c r="H34" s="6">
        <f>'5. Financials - drinking water'!J$82</f>
        <v>41942.716661246399</v>
      </c>
      <c r="I34" s="6">
        <f>'5. Financials - drinking water'!K$82</f>
        <v>45012.069227531647</v>
      </c>
      <c r="J34" s="6">
        <f>'5. Financials - drinking water'!L$82</f>
        <v>48564.980808860055</v>
      </c>
      <c r="K34" s="6">
        <f>'5. Financials - drinking water'!M$82</f>
        <v>50755.607859119496</v>
      </c>
      <c r="L34" s="6">
        <f>'5. Financials - drinking water'!N$82</f>
        <v>54717.911925256987</v>
      </c>
    </row>
    <row r="35" spans="1:15" ht="11" thickBot="1">
      <c r="A35" s="5" t="s">
        <v>44</v>
      </c>
      <c r="C35" s="6">
        <f>'6. Financials - wastewater'!E$82</f>
        <v>36606</v>
      </c>
      <c r="D35" s="6">
        <f>'6. Financials - wastewater'!F$82</f>
        <v>41433.849296</v>
      </c>
      <c r="E35" s="6">
        <f>'6. Financials - wastewater'!G$82</f>
        <v>44665.849296</v>
      </c>
      <c r="F35" s="6">
        <f>'6. Financials - wastewater'!H$82</f>
        <v>49751.275421081591</v>
      </c>
      <c r="G35" s="6">
        <f>'6. Financials - wastewater'!I$82</f>
        <v>51086.275421081591</v>
      </c>
      <c r="H35" s="6">
        <f>'6. Financials - wastewater'!J$82</f>
        <v>55094.580936555743</v>
      </c>
      <c r="I35" s="6">
        <f>'6. Financials - wastewater'!K$82</f>
        <v>57551.716706959123</v>
      </c>
      <c r="J35" s="6">
        <f>'6. Financials - wastewater'!L$82</f>
        <v>61762.151859070451</v>
      </c>
      <c r="K35" s="6">
        <f>'6. Financials - wastewater'!M$82</f>
        <v>63039.138013293363</v>
      </c>
      <c r="L35" s="6">
        <f>'6. Financials - wastewater'!N$82</f>
        <v>67330.687310614449</v>
      </c>
    </row>
    <row r="36" spans="1:15" ht="11" thickBot="1">
      <c r="A36" s="5" t="s">
        <v>45</v>
      </c>
      <c r="C36" s="6">
        <f>'7. Financials - stormwater'!E$82</f>
        <v>9157</v>
      </c>
      <c r="D36" s="6">
        <f>'7. Financials - stormwater'!F$82</f>
        <v>9469.4907120000007</v>
      </c>
      <c r="E36" s="6">
        <f>'7. Financials - stormwater'!G$82</f>
        <v>9618.4907120000007</v>
      </c>
      <c r="F36" s="6">
        <f>'7. Financials - stormwater'!H$82</f>
        <v>10072.5678513152</v>
      </c>
      <c r="G36" s="6">
        <f>'7. Financials - stormwater'!I$82</f>
        <v>10022.5678513152</v>
      </c>
      <c r="H36" s="6">
        <f>'7. Financials - stormwater'!J$82</f>
        <v>10471.508554810296</v>
      </c>
      <c r="I36" s="6">
        <f>'7. Financials - stormwater'!K$82</f>
        <v>10251.510969160703</v>
      </c>
      <c r="J36" s="6">
        <f>'7. Financials - stormwater'!L$82</f>
        <v>10514.469204042729</v>
      </c>
      <c r="K36" s="6">
        <f>'7. Financials - stormwater'!M$82</f>
        <v>10279.491795095395</v>
      </c>
      <c r="L36" s="6">
        <f>'7. Financials - stormwater'!N$82</f>
        <v>10543.726987870459</v>
      </c>
    </row>
    <row r="37" spans="1:15" ht="11" thickBot="1">
      <c r="A37" s="11" t="s">
        <v>41</v>
      </c>
      <c r="C37" s="12">
        <f t="shared" ref="C37:L37" si="1">SUM(C34:C36)</f>
        <v>73462</v>
      </c>
      <c r="D37" s="12">
        <f t="shared" si="1"/>
        <v>81660.352591999996</v>
      </c>
      <c r="E37" s="12">
        <f t="shared" si="1"/>
        <v>85392.352591999996</v>
      </c>
      <c r="F37" s="12">
        <f t="shared" si="1"/>
        <v>93643.81328056319</v>
      </c>
      <c r="G37" s="12">
        <f t="shared" si="1"/>
        <v>98347.81328056319</v>
      </c>
      <c r="H37" s="12">
        <f t="shared" si="1"/>
        <v>107508.80615261244</v>
      </c>
      <c r="I37" s="12">
        <f t="shared" si="1"/>
        <v>112815.29690365147</v>
      </c>
      <c r="J37" s="12">
        <f t="shared" si="1"/>
        <v>120841.60187197324</v>
      </c>
      <c r="K37" s="12">
        <f t="shared" si="1"/>
        <v>124074.23766750826</v>
      </c>
      <c r="L37" s="12">
        <f t="shared" si="1"/>
        <v>132592.3262237419</v>
      </c>
    </row>
    <row r="38" spans="1:15" ht="11" thickBot="1">
      <c r="O38" s="4" t="s">
        <v>29</v>
      </c>
    </row>
    <row r="39" spans="1:15" ht="11" thickBot="1">
      <c r="A39" s="5" t="s">
        <v>46</v>
      </c>
      <c r="C39" s="8">
        <f>C34/C28</f>
        <v>0.61283685118810571</v>
      </c>
      <c r="D39" s="8">
        <f>D34/D28</f>
        <v>0.61274146726644119</v>
      </c>
      <c r="E39" s="8">
        <f t="shared" ref="E39:L39" si="2">E34/E28</f>
        <v>0.60093821514680545</v>
      </c>
      <c r="F39" s="8">
        <f t="shared" si="2"/>
        <v>0.59616382422746195</v>
      </c>
      <c r="G39" s="8">
        <f t="shared" si="2"/>
        <v>0.60541008941938312</v>
      </c>
      <c r="H39" s="8">
        <f t="shared" si="2"/>
        <v>0.60902234959663548</v>
      </c>
      <c r="I39" s="8">
        <f t="shared" si="2"/>
        <v>0.61246569046882582</v>
      </c>
      <c r="J39" s="8">
        <f t="shared" si="2"/>
        <v>0.60564417645916524</v>
      </c>
      <c r="K39" s="8">
        <f t="shared" si="2"/>
        <v>0.60283920446481953</v>
      </c>
      <c r="L39" s="8">
        <f t="shared" si="2"/>
        <v>0.59741111402308789</v>
      </c>
      <c r="O39" s="8">
        <f>($C$7-$C$8)/$C$13</f>
        <v>0.61743393009377667</v>
      </c>
    </row>
    <row r="40" spans="1:15" ht="11" thickBot="1">
      <c r="A40" s="5" t="s">
        <v>47</v>
      </c>
      <c r="C40" s="8">
        <f t="shared" ref="C40:L41" si="3">C35/C29</f>
        <v>1.1415473851623164</v>
      </c>
      <c r="D40" s="8">
        <f t="shared" si="3"/>
        <v>1.094538007155486</v>
      </c>
      <c r="E40" s="8">
        <f t="shared" si="3"/>
        <v>1.0514781588019395</v>
      </c>
      <c r="F40" s="8">
        <f t="shared" si="3"/>
        <v>1.017407105605217</v>
      </c>
      <c r="G40" s="8">
        <f t="shared" si="3"/>
        <v>0.98606797323521944</v>
      </c>
      <c r="H40" s="8">
        <f t="shared" si="3"/>
        <v>0.9592982104519685</v>
      </c>
      <c r="I40" s="8">
        <f t="shared" si="3"/>
        <v>0.93667988070095975</v>
      </c>
      <c r="J40" s="8">
        <f t="shared" si="3"/>
        <v>0.91573564456900414</v>
      </c>
      <c r="K40" s="8">
        <f t="shared" si="3"/>
        <v>0.89707586651865667</v>
      </c>
      <c r="L40" s="8">
        <f t="shared" si="3"/>
        <v>0.88055868132874171</v>
      </c>
      <c r="O40" s="8">
        <f>($D$7-$D$8)/$D$13</f>
        <v>1.1801945301114989</v>
      </c>
    </row>
    <row r="41" spans="1:15" ht="11" thickBot="1">
      <c r="A41" s="5" t="s">
        <v>48</v>
      </c>
      <c r="C41" s="8">
        <f t="shared" si="3"/>
        <v>0.66206348058708697</v>
      </c>
      <c r="D41" s="8">
        <f t="shared" si="3"/>
        <v>0.6516719539424064</v>
      </c>
      <c r="E41" s="8">
        <f t="shared" si="3"/>
        <v>0.64761954255214471</v>
      </c>
      <c r="F41" s="8">
        <f t="shared" si="3"/>
        <v>0.63937659288906634</v>
      </c>
      <c r="G41" s="8">
        <f t="shared" si="3"/>
        <v>0.62941071207783883</v>
      </c>
      <c r="H41" s="8">
        <f t="shared" si="3"/>
        <v>0.62015270688853585</v>
      </c>
      <c r="I41" s="8">
        <f t="shared" si="3"/>
        <v>0.60712382021615041</v>
      </c>
      <c r="J41" s="8">
        <f t="shared" si="3"/>
        <v>0.59385174855012768</v>
      </c>
      <c r="K41" s="8">
        <f t="shared" si="3"/>
        <v>0.58058034678317016</v>
      </c>
      <c r="L41" s="8">
        <f t="shared" si="3"/>
        <v>0.56792465127162817</v>
      </c>
      <c r="O41" s="8">
        <f>($E$7-$E$8)/$E$13</f>
        <v>0.67045371786468577</v>
      </c>
    </row>
    <row r="43" spans="1:15" ht="11" thickBot="1"/>
    <row r="44" spans="1:15" ht="11" thickBot="1">
      <c r="A44" s="3" t="s">
        <v>49</v>
      </c>
      <c r="C44" s="4" t="s">
        <v>19</v>
      </c>
      <c r="D44" s="4" t="s">
        <v>20</v>
      </c>
      <c r="E44" s="4" t="s">
        <v>21</v>
      </c>
      <c r="F44" s="4" t="s">
        <v>22</v>
      </c>
      <c r="G44" s="4" t="s">
        <v>23</v>
      </c>
      <c r="H44" s="4" t="s">
        <v>24</v>
      </c>
      <c r="I44" s="4" t="s">
        <v>25</v>
      </c>
      <c r="J44" s="4" t="s">
        <v>26</v>
      </c>
      <c r="K44" s="4" t="s">
        <v>27</v>
      </c>
      <c r="L44" s="4" t="s">
        <v>28</v>
      </c>
    </row>
    <row r="45" spans="1:15" ht="11" thickBot="1">
      <c r="A45" s="5" t="s">
        <v>50</v>
      </c>
      <c r="C45" s="6">
        <v>3103</v>
      </c>
      <c r="D45" s="6">
        <v>3149</v>
      </c>
      <c r="E45" s="6">
        <v>3196.7881749999992</v>
      </c>
      <c r="F45" s="6">
        <v>3244.739997624999</v>
      </c>
      <c r="G45" s="6">
        <v>3293.4110975893736</v>
      </c>
      <c r="H45" s="6">
        <v>3342.8122640532138</v>
      </c>
      <c r="I45" s="6">
        <v>3392.9544480140116</v>
      </c>
      <c r="J45" s="6">
        <v>3443.8487647342213</v>
      </c>
      <c r="K45" s="6">
        <v>3495.5064962052343</v>
      </c>
      <c r="L45" s="6">
        <v>3547.9390936483123</v>
      </c>
    </row>
    <row r="46" spans="1:15" ht="11" thickBot="1">
      <c r="A46" s="5" t="s">
        <v>51</v>
      </c>
      <c r="C46" s="6">
        <v>3047</v>
      </c>
      <c r="D46" s="6">
        <v>3097</v>
      </c>
      <c r="E46" s="6">
        <v>3140.1257999999993</v>
      </c>
      <c r="F46" s="6">
        <v>3187.2276869999992</v>
      </c>
      <c r="G46" s="6">
        <v>3235.0361023049986</v>
      </c>
      <c r="H46" s="6">
        <v>3283.5616438395732</v>
      </c>
      <c r="I46" s="6">
        <v>3332.8150684971665</v>
      </c>
      <c r="J46" s="6">
        <v>3382.8072945246236</v>
      </c>
      <c r="K46" s="6">
        <v>3433.5494039424925</v>
      </c>
      <c r="L46" s="6">
        <v>3485.0526450016296</v>
      </c>
    </row>
    <row r="47" spans="1:15" ht="11" thickBot="1">
      <c r="A47" s="5" t="s">
        <v>52</v>
      </c>
      <c r="C47" s="6">
        <v>2880</v>
      </c>
      <c r="D47" s="6">
        <v>2927</v>
      </c>
      <c r="E47" s="6">
        <v>2966.0177749999998</v>
      </c>
      <c r="F47" s="6">
        <v>3010.5080416249994</v>
      </c>
      <c r="G47" s="6">
        <v>3055.6656622493742</v>
      </c>
      <c r="H47" s="6">
        <v>3101.5006471831143</v>
      </c>
      <c r="I47" s="6">
        <v>3148.0231568908607</v>
      </c>
      <c r="J47" s="6">
        <v>3195.2435042442235</v>
      </c>
      <c r="K47" s="6">
        <v>3243.1721568078865</v>
      </c>
      <c r="L47" s="6">
        <v>3291.8197391600047</v>
      </c>
    </row>
    <row r="48" spans="1:15" ht="11" thickBot="1"/>
    <row r="49" spans="1:15" ht="11" thickBot="1">
      <c r="A49" s="3" t="s">
        <v>53</v>
      </c>
      <c r="C49" s="4" t="s">
        <v>19</v>
      </c>
      <c r="D49" s="4" t="s">
        <v>20</v>
      </c>
      <c r="E49" s="4" t="s">
        <v>21</v>
      </c>
      <c r="F49" s="4" t="s">
        <v>22</v>
      </c>
      <c r="G49" s="4" t="s">
        <v>23</v>
      </c>
      <c r="H49" s="4" t="s">
        <v>24</v>
      </c>
      <c r="I49" s="4" t="s">
        <v>25</v>
      </c>
      <c r="J49" s="4" t="s">
        <v>26</v>
      </c>
      <c r="K49" s="4" t="s">
        <v>27</v>
      </c>
      <c r="L49" s="4" t="s">
        <v>28</v>
      </c>
      <c r="O49" s="4" t="s">
        <v>29</v>
      </c>
    </row>
    <row r="50" spans="1:15" ht="11" thickBot="1">
      <c r="A50" s="5" t="s">
        <v>54</v>
      </c>
      <c r="C50" s="6">
        <v>87612.615999999995</v>
      </c>
      <c r="D50" s="6">
        <v>90503.83232799999</v>
      </c>
      <c r="E50" s="6">
        <v>93671.466459479983</v>
      </c>
      <c r="F50" s="6">
        <v>96949.967785561777</v>
      </c>
      <c r="G50" s="6">
        <v>100343.21665805644</v>
      </c>
      <c r="H50" s="6">
        <v>103754.88602443037</v>
      </c>
      <c r="I50" s="6">
        <v>107282.552149261</v>
      </c>
      <c r="J50" s="6">
        <v>110930.15892233588</v>
      </c>
      <c r="K50" s="6">
        <v>114701.78432569529</v>
      </c>
      <c r="L50" s="6">
        <v>118601.64499276894</v>
      </c>
      <c r="O50" s="6">
        <v>84242.9</v>
      </c>
    </row>
  </sheetData>
  <mergeCells count="1">
    <mergeCell ref="A1:E1"/>
  </mergeCells>
  <pageMargins left="0.7" right="0.7" top="0.75" bottom="0.75" header="0.3" footer="0.3"/>
  <pageSetup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30172-69F8-4674-83E3-C4ABBA36BF02}">
  <sheetPr codeName="Sheet24">
    <pageSetUpPr fitToPage="1"/>
  </sheetPr>
  <dimension ref="A1:L127"/>
  <sheetViews>
    <sheetView workbookViewId="0">
      <selection activeCell="A18" sqref="A18"/>
    </sheetView>
  </sheetViews>
  <sheetFormatPr defaultColWidth="0" defaultRowHeight="14.5" zeroHeight="1"/>
  <cols>
    <col min="1" max="1" width="1.453125" style="17" customWidth="1"/>
    <col min="2" max="2" width="3.7265625" style="17" customWidth="1"/>
    <col min="3" max="3" width="102.54296875" style="17" customWidth="1"/>
    <col min="4" max="4" width="1.453125" style="17" customWidth="1"/>
    <col min="5" max="16384" width="8" style="17" hidden="1"/>
  </cols>
  <sheetData>
    <row r="1" spans="1:4" ht="26.5" thickBot="1">
      <c r="A1" s="13"/>
      <c r="B1" s="14" t="s">
        <v>55</v>
      </c>
      <c r="C1" s="15"/>
      <c r="D1" s="16"/>
    </row>
    <row r="2" spans="1:4" ht="10.4" customHeight="1" thickTop="1" thickBot="1">
      <c r="A2" s="18"/>
      <c r="B2" s="19"/>
      <c r="C2" s="20"/>
      <c r="D2" s="21"/>
    </row>
    <row r="3" spans="1:4" ht="15" thickTop="1">
      <c r="A3" s="18"/>
      <c r="B3" s="22" t="s">
        <v>56</v>
      </c>
      <c r="C3" s="23"/>
      <c r="D3" s="21"/>
    </row>
    <row r="4" spans="1:4" ht="30.75" customHeight="1">
      <c r="A4" s="18"/>
      <c r="B4" s="115" t="s">
        <v>57</v>
      </c>
      <c r="C4" s="116"/>
      <c r="D4" s="21"/>
    </row>
    <row r="5" spans="1:4" ht="5.25" customHeight="1">
      <c r="A5" s="18"/>
      <c r="B5" s="24"/>
      <c r="C5" s="25"/>
      <c r="D5" s="21"/>
    </row>
    <row r="6" spans="1:4">
      <c r="A6" s="18"/>
      <c r="B6" s="26" t="s">
        <v>58</v>
      </c>
      <c r="C6" s="27"/>
      <c r="D6" s="21"/>
    </row>
    <row r="7" spans="1:4" ht="5.25" customHeight="1">
      <c r="A7" s="18"/>
      <c r="B7" s="24"/>
      <c r="C7" s="25"/>
      <c r="D7" s="21"/>
    </row>
    <row r="8" spans="1:4" ht="67.5" customHeight="1">
      <c r="A8" s="18"/>
      <c r="B8" s="28" t="s">
        <v>59</v>
      </c>
      <c r="C8" s="29" t="s">
        <v>60</v>
      </c>
      <c r="D8" s="21"/>
    </row>
    <row r="9" spans="1:4" ht="5.25" customHeight="1">
      <c r="A9" s="18"/>
      <c r="B9" s="24"/>
      <c r="C9" s="25"/>
      <c r="D9" s="21"/>
    </row>
    <row r="10" spans="1:4" ht="30.75" customHeight="1">
      <c r="A10" s="18"/>
      <c r="B10" s="115" t="s">
        <v>61</v>
      </c>
      <c r="C10" s="116"/>
      <c r="D10" s="21"/>
    </row>
    <row r="11" spans="1:4" ht="5.25" customHeight="1">
      <c r="A11" s="18"/>
      <c r="B11" s="24"/>
      <c r="C11" s="25"/>
      <c r="D11" s="21"/>
    </row>
    <row r="12" spans="1:4" ht="78" customHeight="1">
      <c r="A12" s="18"/>
      <c r="B12" s="28" t="s">
        <v>59</v>
      </c>
      <c r="C12" s="29" t="s">
        <v>62</v>
      </c>
      <c r="D12" s="21"/>
    </row>
    <row r="13" spans="1:4" ht="5.25" customHeight="1">
      <c r="A13" s="18"/>
      <c r="B13" s="24"/>
      <c r="C13" s="25"/>
      <c r="D13" s="21"/>
    </row>
    <row r="14" spans="1:4">
      <c r="A14" s="18"/>
      <c r="B14" s="26" t="s">
        <v>63</v>
      </c>
      <c r="C14" s="27"/>
      <c r="D14" s="21"/>
    </row>
    <row r="15" spans="1:4" ht="5.25" customHeight="1">
      <c r="A15" s="18"/>
      <c r="B15" s="24"/>
      <c r="C15" s="25"/>
      <c r="D15" s="21"/>
    </row>
    <row r="16" spans="1:4" ht="205.5" customHeight="1">
      <c r="A16" s="18"/>
      <c r="B16" s="28" t="s">
        <v>64</v>
      </c>
      <c r="C16" s="29" t="s">
        <v>65</v>
      </c>
      <c r="D16" s="21"/>
    </row>
    <row r="17" spans="1:4">
      <c r="A17" s="18"/>
      <c r="B17" s="28"/>
      <c r="C17" s="29"/>
      <c r="D17" s="21"/>
    </row>
    <row r="18" spans="1:4">
      <c r="A18" s="18"/>
      <c r="B18" s="30" t="s">
        <v>66</v>
      </c>
      <c r="C18" s="31"/>
      <c r="D18" s="21"/>
    </row>
    <row r="19" spans="1:4" ht="30.75" customHeight="1">
      <c r="A19" s="18"/>
      <c r="B19" s="115" t="s">
        <v>67</v>
      </c>
      <c r="C19" s="116"/>
      <c r="D19" s="21"/>
    </row>
    <row r="20" spans="1:4" ht="5.25" customHeight="1">
      <c r="A20" s="18"/>
      <c r="B20" s="24"/>
      <c r="C20" s="25"/>
      <c r="D20" s="21"/>
    </row>
    <row r="21" spans="1:4" ht="30" customHeight="1">
      <c r="A21" s="18"/>
      <c r="B21" s="115" t="s">
        <v>68</v>
      </c>
      <c r="C21" s="116"/>
      <c r="D21" s="21"/>
    </row>
    <row r="22" spans="1:4" ht="5.25" customHeight="1">
      <c r="A22" s="18"/>
      <c r="B22" s="24"/>
      <c r="C22" s="25"/>
      <c r="D22" s="21"/>
    </row>
    <row r="23" spans="1:4">
      <c r="A23" s="18"/>
      <c r="B23" s="26" t="s">
        <v>69</v>
      </c>
      <c r="C23" s="27"/>
      <c r="D23" s="21"/>
    </row>
    <row r="24" spans="1:4" ht="5.25" customHeight="1">
      <c r="A24" s="18"/>
      <c r="B24" s="24"/>
      <c r="C24" s="25"/>
      <c r="D24" s="21"/>
    </row>
    <row r="25" spans="1:4" ht="48" customHeight="1">
      <c r="A25" s="18"/>
      <c r="B25" s="28" t="s">
        <v>70</v>
      </c>
      <c r="C25" s="29" t="s">
        <v>71</v>
      </c>
      <c r="D25" s="21"/>
    </row>
    <row r="26" spans="1:4" ht="31.5" customHeight="1">
      <c r="A26" s="18"/>
      <c r="B26" s="115" t="s">
        <v>72</v>
      </c>
      <c r="C26" s="116"/>
      <c r="D26" s="21"/>
    </row>
    <row r="27" spans="1:4" ht="5.25" customHeight="1">
      <c r="A27" s="18"/>
      <c r="B27" s="24"/>
      <c r="C27" s="25"/>
      <c r="D27" s="21"/>
    </row>
    <row r="28" spans="1:4" ht="45.75" customHeight="1">
      <c r="A28" s="18"/>
      <c r="B28" s="115" t="s">
        <v>73</v>
      </c>
      <c r="C28" s="116"/>
      <c r="D28" s="21"/>
    </row>
    <row r="29" spans="1:4" ht="5.25" customHeight="1">
      <c r="A29" s="18"/>
      <c r="B29" s="24"/>
      <c r="C29" s="25"/>
      <c r="D29" s="21"/>
    </row>
    <row r="30" spans="1:4">
      <c r="A30" s="18"/>
      <c r="B30" s="26" t="s">
        <v>74</v>
      </c>
      <c r="C30" s="27"/>
      <c r="D30" s="21"/>
    </row>
    <row r="31" spans="1:4" ht="48" customHeight="1">
      <c r="A31" s="18"/>
      <c r="B31" s="28" t="s">
        <v>75</v>
      </c>
      <c r="C31" s="29" t="s">
        <v>76</v>
      </c>
      <c r="D31" s="21"/>
    </row>
    <row r="32" spans="1:4" ht="5.25" customHeight="1">
      <c r="A32" s="18"/>
      <c r="B32" s="24"/>
      <c r="C32" s="25"/>
      <c r="D32" s="21"/>
    </row>
    <row r="33" spans="1:12">
      <c r="A33" s="18"/>
      <c r="B33" s="26" t="s">
        <v>77</v>
      </c>
      <c r="C33" s="27"/>
      <c r="D33" s="21"/>
      <c r="L33" s="17">
        <v>1</v>
      </c>
    </row>
    <row r="34" spans="1:12" ht="46.5" customHeight="1">
      <c r="A34" s="18"/>
      <c r="B34" s="28" t="s">
        <v>70</v>
      </c>
      <c r="C34" s="29" t="s">
        <v>78</v>
      </c>
      <c r="D34" s="21"/>
    </row>
    <row r="35" spans="1:12" ht="5.25" customHeight="1">
      <c r="A35" s="18"/>
      <c r="B35" s="24"/>
      <c r="C35" s="25"/>
      <c r="D35" s="21"/>
    </row>
    <row r="36" spans="1:12">
      <c r="A36" s="18"/>
      <c r="B36" s="26" t="s">
        <v>79</v>
      </c>
      <c r="C36" s="27"/>
      <c r="D36" s="21"/>
    </row>
    <row r="37" spans="1:12" ht="61.5" customHeight="1">
      <c r="A37" s="18"/>
      <c r="B37" s="28" t="s">
        <v>59</v>
      </c>
      <c r="C37" s="29" t="s">
        <v>80</v>
      </c>
      <c r="D37" s="21"/>
    </row>
    <row r="38" spans="1:12">
      <c r="A38" s="18"/>
      <c r="B38" s="28"/>
      <c r="C38" s="29"/>
      <c r="D38" s="21"/>
    </row>
    <row r="39" spans="1:12">
      <c r="A39" s="18"/>
      <c r="B39" s="30" t="s">
        <v>81</v>
      </c>
      <c r="C39" s="31"/>
      <c r="D39" s="21"/>
    </row>
    <row r="40" spans="1:12" ht="36.75" customHeight="1">
      <c r="A40" s="18"/>
      <c r="B40" s="115" t="s">
        <v>82</v>
      </c>
      <c r="C40" s="116"/>
      <c r="D40" s="21"/>
    </row>
    <row r="41" spans="1:12">
      <c r="A41" s="18"/>
      <c r="B41" s="28"/>
      <c r="C41" s="29"/>
      <c r="D41" s="21"/>
    </row>
    <row r="42" spans="1:12">
      <c r="A42" s="18"/>
      <c r="B42" s="117" t="s">
        <v>83</v>
      </c>
      <c r="C42" s="118"/>
      <c r="D42" s="21"/>
    </row>
    <row r="43" spans="1:12">
      <c r="A43" s="18"/>
      <c r="B43" s="26" t="s">
        <v>84</v>
      </c>
      <c r="C43" s="27"/>
      <c r="D43" s="21"/>
    </row>
    <row r="44" spans="1:12" ht="33.75" customHeight="1">
      <c r="A44" s="18"/>
      <c r="B44" s="28" t="s">
        <v>85</v>
      </c>
      <c r="C44" s="29" t="s">
        <v>86</v>
      </c>
      <c r="D44" s="21"/>
    </row>
    <row r="45" spans="1:12" ht="43.5">
      <c r="A45" s="18"/>
      <c r="B45" s="28" t="s">
        <v>85</v>
      </c>
      <c r="C45" s="29" t="s">
        <v>87</v>
      </c>
      <c r="D45" s="21"/>
    </row>
    <row r="46" spans="1:12" ht="32.25" customHeight="1">
      <c r="A46" s="18"/>
      <c r="B46" s="28" t="s">
        <v>85</v>
      </c>
      <c r="C46" s="29" t="s">
        <v>88</v>
      </c>
      <c r="D46" s="21"/>
    </row>
    <row r="47" spans="1:12" ht="32.25" customHeight="1">
      <c r="A47" s="18"/>
      <c r="B47" s="28" t="s">
        <v>85</v>
      </c>
      <c r="C47" s="29" t="s">
        <v>89</v>
      </c>
      <c r="D47" s="21"/>
    </row>
    <row r="48" spans="1:12">
      <c r="A48" s="18"/>
      <c r="B48" s="28"/>
      <c r="C48" s="29"/>
      <c r="D48" s="21"/>
    </row>
    <row r="49" spans="1:4" ht="33.75" customHeight="1">
      <c r="A49" s="18"/>
      <c r="B49" s="32"/>
      <c r="C49" s="33" t="s">
        <v>90</v>
      </c>
      <c r="D49" s="21"/>
    </row>
    <row r="50" spans="1:4" ht="16.5" customHeight="1">
      <c r="A50" s="18"/>
      <c r="B50" s="34" t="s">
        <v>91</v>
      </c>
      <c r="C50" s="29"/>
      <c r="D50" s="21"/>
    </row>
    <row r="51" spans="1:4" ht="5.25" customHeight="1">
      <c r="A51" s="18"/>
      <c r="B51" s="24"/>
      <c r="C51" s="25"/>
      <c r="D51" s="21"/>
    </row>
    <row r="52" spans="1:4" ht="29">
      <c r="A52" s="18"/>
      <c r="B52" s="28" t="s">
        <v>85</v>
      </c>
      <c r="C52" s="29" t="s">
        <v>92</v>
      </c>
      <c r="D52" s="21"/>
    </row>
    <row r="53" spans="1:4" ht="5.25" customHeight="1">
      <c r="A53" s="18"/>
      <c r="B53" s="24"/>
      <c r="C53" s="25"/>
      <c r="D53" s="21"/>
    </row>
    <row r="54" spans="1:4" ht="29">
      <c r="A54" s="18"/>
      <c r="B54" s="28" t="s">
        <v>85</v>
      </c>
      <c r="C54" s="29" t="s">
        <v>93</v>
      </c>
      <c r="D54" s="21"/>
    </row>
    <row r="55" spans="1:4" ht="5.25" customHeight="1">
      <c r="A55" s="18"/>
      <c r="B55" s="24"/>
      <c r="C55" s="25"/>
      <c r="D55" s="21"/>
    </row>
    <row r="56" spans="1:4" ht="48" customHeight="1">
      <c r="A56" s="18"/>
      <c r="B56" s="28" t="s">
        <v>85</v>
      </c>
      <c r="C56" s="29" t="s">
        <v>94</v>
      </c>
      <c r="D56" s="21"/>
    </row>
    <row r="57" spans="1:4" ht="5.25" customHeight="1">
      <c r="A57" s="18"/>
      <c r="B57" s="24"/>
      <c r="C57" s="25"/>
      <c r="D57" s="21"/>
    </row>
    <row r="58" spans="1:4" ht="29">
      <c r="A58" s="18"/>
      <c r="B58" s="28" t="s">
        <v>85</v>
      </c>
      <c r="C58" s="29" t="s">
        <v>95</v>
      </c>
      <c r="D58" s="21"/>
    </row>
    <row r="59" spans="1:4" ht="5.25" customHeight="1">
      <c r="A59" s="18"/>
      <c r="B59" s="24"/>
      <c r="C59" s="25"/>
      <c r="D59" s="21"/>
    </row>
    <row r="60" spans="1:4" ht="14.25" customHeight="1">
      <c r="A60" s="18"/>
      <c r="B60" s="34" t="s">
        <v>96</v>
      </c>
      <c r="C60" s="29"/>
      <c r="D60" s="21"/>
    </row>
    <row r="61" spans="1:4" ht="5.25" customHeight="1">
      <c r="A61" s="18"/>
      <c r="B61" s="24"/>
      <c r="C61" s="25"/>
      <c r="D61" s="21"/>
    </row>
    <row r="62" spans="1:4" ht="43.5">
      <c r="A62" s="18"/>
      <c r="B62" s="28" t="s">
        <v>85</v>
      </c>
      <c r="C62" s="29" t="s">
        <v>97</v>
      </c>
      <c r="D62" s="21"/>
    </row>
    <row r="63" spans="1:4" ht="5.25" customHeight="1">
      <c r="A63" s="18"/>
      <c r="B63" s="24"/>
      <c r="C63" s="25"/>
      <c r="D63" s="21"/>
    </row>
    <row r="64" spans="1:4" ht="20.25" customHeight="1">
      <c r="A64" s="18"/>
      <c r="B64" s="28" t="s">
        <v>85</v>
      </c>
      <c r="C64" s="25" t="s">
        <v>98</v>
      </c>
      <c r="D64" s="21"/>
    </row>
    <row r="65" spans="1:4" ht="5.25" customHeight="1">
      <c r="A65" s="18"/>
      <c r="B65" s="24"/>
      <c r="C65" s="25"/>
      <c r="D65" s="21"/>
    </row>
    <row r="66" spans="1:4" ht="43.5">
      <c r="A66" s="18"/>
      <c r="B66" s="28" t="s">
        <v>85</v>
      </c>
      <c r="C66" s="25" t="s">
        <v>99</v>
      </c>
      <c r="D66" s="21"/>
    </row>
    <row r="67" spans="1:4" ht="5.25" customHeight="1">
      <c r="A67" s="18"/>
      <c r="B67" s="24"/>
      <c r="C67" s="25"/>
      <c r="D67" s="21"/>
    </row>
    <row r="68" spans="1:4" ht="17.25" customHeight="1">
      <c r="A68" s="18"/>
      <c r="B68" s="34" t="s">
        <v>100</v>
      </c>
      <c r="C68" s="29"/>
      <c r="D68" s="21"/>
    </row>
    <row r="69" spans="1:4" ht="5.25" customHeight="1">
      <c r="A69" s="18"/>
      <c r="B69" s="24"/>
      <c r="C69" s="25"/>
      <c r="D69" s="21"/>
    </row>
    <row r="70" spans="1:4" ht="15.75" customHeight="1">
      <c r="A70" s="18"/>
      <c r="B70" s="28" t="s">
        <v>85</v>
      </c>
      <c r="C70" s="29" t="s">
        <v>101</v>
      </c>
      <c r="D70" s="21"/>
    </row>
    <row r="71" spans="1:4" ht="5.25" customHeight="1">
      <c r="A71" s="18"/>
      <c r="B71" s="24"/>
      <c r="C71" s="25"/>
      <c r="D71" s="21"/>
    </row>
    <row r="72" spans="1:4" ht="74.25" customHeight="1">
      <c r="A72" s="18"/>
      <c r="B72" s="28" t="s">
        <v>85</v>
      </c>
      <c r="C72" s="29" t="s">
        <v>102</v>
      </c>
      <c r="D72" s="21"/>
    </row>
    <row r="73" spans="1:4" ht="5.25" customHeight="1">
      <c r="A73" s="18"/>
      <c r="B73" s="24"/>
      <c r="C73" s="25"/>
      <c r="D73" s="21"/>
    </row>
    <row r="74" spans="1:4" ht="79.5" customHeight="1">
      <c r="A74" s="18"/>
      <c r="B74" s="28" t="s">
        <v>85</v>
      </c>
      <c r="C74" s="29" t="s">
        <v>103</v>
      </c>
      <c r="D74" s="21"/>
    </row>
    <row r="75" spans="1:4">
      <c r="A75" s="18"/>
      <c r="B75" s="28"/>
      <c r="C75" s="29"/>
      <c r="D75" s="21"/>
    </row>
    <row r="76" spans="1:4" ht="17.25" customHeight="1">
      <c r="A76" s="18"/>
      <c r="B76" s="35" t="s">
        <v>104</v>
      </c>
      <c r="C76" s="36"/>
      <c r="D76" s="21"/>
    </row>
    <row r="77" spans="1:4" ht="29">
      <c r="A77" s="18"/>
      <c r="B77" s="28" t="s">
        <v>85</v>
      </c>
      <c r="C77" s="29" t="s">
        <v>105</v>
      </c>
      <c r="D77" s="21"/>
    </row>
    <row r="78" spans="1:4" ht="5.25" customHeight="1">
      <c r="A78" s="18"/>
      <c r="B78" s="24"/>
      <c r="C78" s="25"/>
      <c r="D78" s="21"/>
    </row>
    <row r="79" spans="1:4" ht="29">
      <c r="A79" s="18"/>
      <c r="B79" s="28" t="s">
        <v>85</v>
      </c>
      <c r="C79" s="29" t="s">
        <v>106</v>
      </c>
      <c r="D79" s="21"/>
    </row>
    <row r="80" spans="1:4" ht="5.25" customHeight="1">
      <c r="A80" s="18"/>
      <c r="B80" s="24"/>
      <c r="C80" s="25"/>
      <c r="D80" s="21"/>
    </row>
    <row r="81" spans="1:4" ht="29">
      <c r="A81" s="18"/>
      <c r="B81" s="28" t="s">
        <v>85</v>
      </c>
      <c r="C81" s="29" t="s">
        <v>107</v>
      </c>
      <c r="D81" s="21"/>
    </row>
    <row r="82" spans="1:4" ht="5.25" customHeight="1">
      <c r="A82" s="18"/>
      <c r="B82" s="24"/>
      <c r="C82" s="25"/>
      <c r="D82" s="21"/>
    </row>
    <row r="83" spans="1:4" ht="29">
      <c r="A83" s="18"/>
      <c r="B83" s="28" t="s">
        <v>85</v>
      </c>
      <c r="C83" s="29" t="s">
        <v>108</v>
      </c>
      <c r="D83" s="21"/>
    </row>
    <row r="84" spans="1:4" ht="5.25" customHeight="1">
      <c r="A84" s="18"/>
      <c r="B84" s="24"/>
      <c r="C84" s="25"/>
      <c r="D84" s="21"/>
    </row>
    <row r="85" spans="1:4" ht="29">
      <c r="A85" s="18"/>
      <c r="B85" s="28" t="s">
        <v>85</v>
      </c>
      <c r="C85" s="29" t="s">
        <v>109</v>
      </c>
      <c r="D85" s="21"/>
    </row>
    <row r="86" spans="1:4" ht="5.25" customHeight="1">
      <c r="A86" s="18"/>
      <c r="B86" s="24"/>
      <c r="C86" s="25"/>
      <c r="D86" s="21"/>
    </row>
    <row r="87" spans="1:4">
      <c r="A87" s="18"/>
      <c r="B87" s="28"/>
      <c r="C87" s="29"/>
      <c r="D87" s="21"/>
    </row>
    <row r="88" spans="1:4" ht="17.25" customHeight="1">
      <c r="A88" s="18"/>
      <c r="B88" s="117" t="s">
        <v>110</v>
      </c>
      <c r="C88" s="118"/>
      <c r="D88" s="21"/>
    </row>
    <row r="89" spans="1:4">
      <c r="A89" s="18"/>
      <c r="B89" s="28" t="s">
        <v>85</v>
      </c>
      <c r="C89" s="29" t="s">
        <v>111</v>
      </c>
      <c r="D89" s="21"/>
    </row>
    <row r="90" spans="1:4" ht="5.25" customHeight="1">
      <c r="A90" s="18"/>
      <c r="B90" s="24"/>
      <c r="C90" s="25"/>
      <c r="D90" s="21"/>
    </row>
    <row r="91" spans="1:4">
      <c r="A91" s="18"/>
      <c r="B91" s="28" t="s">
        <v>85</v>
      </c>
      <c r="C91" s="29" t="s">
        <v>112</v>
      </c>
      <c r="D91" s="21"/>
    </row>
    <row r="92" spans="1:4" ht="5.25" customHeight="1">
      <c r="A92" s="18"/>
      <c r="B92" s="24"/>
      <c r="C92" s="25"/>
      <c r="D92" s="21"/>
    </row>
    <row r="93" spans="1:4">
      <c r="A93" s="18"/>
      <c r="B93" s="28" t="s">
        <v>85</v>
      </c>
      <c r="C93" s="29" t="s">
        <v>113</v>
      </c>
      <c r="D93" s="21"/>
    </row>
    <row r="94" spans="1:4" ht="5.25" customHeight="1">
      <c r="A94" s="18"/>
      <c r="B94" s="24"/>
      <c r="C94" s="25"/>
      <c r="D94" s="21"/>
    </row>
    <row r="95" spans="1:4">
      <c r="A95" s="18"/>
      <c r="B95" s="28" t="s">
        <v>85</v>
      </c>
      <c r="C95" s="29" t="s">
        <v>114</v>
      </c>
      <c r="D95" s="21"/>
    </row>
    <row r="96" spans="1:4">
      <c r="A96" s="18"/>
      <c r="B96" s="28"/>
      <c r="C96" s="29"/>
      <c r="D96" s="21"/>
    </row>
    <row r="97" spans="1:4" ht="17.25" customHeight="1">
      <c r="A97" s="18"/>
      <c r="B97" s="117" t="s">
        <v>115</v>
      </c>
      <c r="C97" s="118"/>
      <c r="D97" s="21"/>
    </row>
    <row r="98" spans="1:4">
      <c r="A98" s="18"/>
      <c r="B98" s="28" t="s">
        <v>85</v>
      </c>
      <c r="C98" s="29" t="s">
        <v>111</v>
      </c>
      <c r="D98" s="21"/>
    </row>
    <row r="99" spans="1:4" ht="5.25" customHeight="1">
      <c r="A99" s="18"/>
      <c r="B99" s="24"/>
      <c r="C99" s="25"/>
      <c r="D99" s="21"/>
    </row>
    <row r="100" spans="1:4">
      <c r="A100" s="18"/>
      <c r="B100" s="28" t="s">
        <v>85</v>
      </c>
      <c r="C100" s="29" t="s">
        <v>112</v>
      </c>
      <c r="D100" s="21"/>
    </row>
    <row r="101" spans="1:4" ht="5.25" customHeight="1">
      <c r="A101" s="18"/>
      <c r="B101" s="24"/>
      <c r="C101" s="25"/>
      <c r="D101" s="21"/>
    </row>
    <row r="102" spans="1:4">
      <c r="A102" s="18"/>
      <c r="B102" s="28" t="s">
        <v>85</v>
      </c>
      <c r="C102" s="29" t="s">
        <v>113</v>
      </c>
      <c r="D102" s="21"/>
    </row>
    <row r="103" spans="1:4" ht="5.25" customHeight="1">
      <c r="A103" s="18"/>
      <c r="B103" s="24"/>
      <c r="C103" s="25"/>
      <c r="D103" s="21"/>
    </row>
    <row r="104" spans="1:4">
      <c r="A104" s="18"/>
      <c r="B104" s="28" t="s">
        <v>85</v>
      </c>
      <c r="C104" s="29" t="s">
        <v>114</v>
      </c>
      <c r="D104" s="21"/>
    </row>
    <row r="105" spans="1:4">
      <c r="A105" s="18"/>
      <c r="B105" s="28"/>
      <c r="C105" s="29"/>
      <c r="D105" s="21"/>
    </row>
    <row r="106" spans="1:4" ht="17.25" customHeight="1">
      <c r="A106" s="18"/>
      <c r="B106" s="117" t="s">
        <v>116</v>
      </c>
      <c r="C106" s="118"/>
      <c r="D106" s="21"/>
    </row>
    <row r="107" spans="1:4">
      <c r="A107" s="18"/>
      <c r="B107" s="28" t="s">
        <v>85</v>
      </c>
      <c r="C107" s="29" t="s">
        <v>111</v>
      </c>
      <c r="D107" s="21"/>
    </row>
    <row r="108" spans="1:4" ht="5.25" customHeight="1">
      <c r="A108" s="18"/>
      <c r="B108" s="24"/>
      <c r="C108" s="25"/>
      <c r="D108" s="21"/>
    </row>
    <row r="109" spans="1:4">
      <c r="A109" s="18"/>
      <c r="B109" s="28" t="s">
        <v>85</v>
      </c>
      <c r="C109" s="29" t="s">
        <v>112</v>
      </c>
      <c r="D109" s="21"/>
    </row>
    <row r="110" spans="1:4" ht="5.25" customHeight="1">
      <c r="A110" s="18"/>
      <c r="B110" s="24"/>
      <c r="C110" s="25"/>
      <c r="D110" s="21"/>
    </row>
    <row r="111" spans="1:4">
      <c r="A111" s="18"/>
      <c r="B111" s="28" t="s">
        <v>85</v>
      </c>
      <c r="C111" s="29" t="s">
        <v>113</v>
      </c>
      <c r="D111" s="21"/>
    </row>
    <row r="112" spans="1:4" ht="5.25" customHeight="1">
      <c r="A112" s="18"/>
      <c r="B112" s="24"/>
      <c r="C112" s="25"/>
      <c r="D112" s="21"/>
    </row>
    <row r="113" spans="1:4">
      <c r="A113" s="18"/>
      <c r="B113" s="28" t="s">
        <v>85</v>
      </c>
      <c r="C113" s="29" t="s">
        <v>114</v>
      </c>
      <c r="D113" s="21"/>
    </row>
    <row r="114" spans="1:4">
      <c r="A114" s="18"/>
      <c r="B114" s="28"/>
      <c r="C114" s="29"/>
      <c r="D114" s="21"/>
    </row>
    <row r="115" spans="1:4" ht="17.25" customHeight="1">
      <c r="A115" s="18"/>
      <c r="B115" s="117" t="s">
        <v>117</v>
      </c>
      <c r="C115" s="118"/>
      <c r="D115" s="21"/>
    </row>
    <row r="116" spans="1:4">
      <c r="A116" s="18"/>
      <c r="B116" s="28" t="s">
        <v>85</v>
      </c>
      <c r="C116" s="29" t="s">
        <v>111</v>
      </c>
      <c r="D116" s="21"/>
    </row>
    <row r="117" spans="1:4" ht="5.25" customHeight="1">
      <c r="A117" s="18"/>
      <c r="B117" s="24"/>
      <c r="C117" s="25"/>
      <c r="D117" s="21"/>
    </row>
    <row r="118" spans="1:4">
      <c r="A118" s="18"/>
      <c r="B118" s="28" t="s">
        <v>85</v>
      </c>
      <c r="C118" s="29" t="s">
        <v>112</v>
      </c>
      <c r="D118" s="21"/>
    </row>
    <row r="119" spans="1:4" ht="5.25" customHeight="1">
      <c r="A119" s="18"/>
      <c r="B119" s="24"/>
      <c r="C119" s="25"/>
      <c r="D119" s="21"/>
    </row>
    <row r="120" spans="1:4">
      <c r="A120" s="18"/>
      <c r="B120" s="28" t="s">
        <v>85</v>
      </c>
      <c r="C120" s="29" t="s">
        <v>113</v>
      </c>
      <c r="D120" s="21"/>
    </row>
    <row r="121" spans="1:4" ht="5.25" customHeight="1">
      <c r="A121" s="18"/>
      <c r="B121" s="24"/>
      <c r="C121" s="25"/>
      <c r="D121" s="21"/>
    </row>
    <row r="122" spans="1:4">
      <c r="A122" s="18"/>
      <c r="B122" s="28" t="s">
        <v>85</v>
      </c>
      <c r="C122" s="29" t="s">
        <v>114</v>
      </c>
      <c r="D122" s="21"/>
    </row>
    <row r="123" spans="1:4">
      <c r="A123" s="18"/>
      <c r="B123" s="28"/>
      <c r="C123" s="29"/>
      <c r="D123" s="21"/>
    </row>
    <row r="124" spans="1:4">
      <c r="A124" s="18"/>
      <c r="B124" s="30" t="s">
        <v>118</v>
      </c>
      <c r="C124" s="31"/>
      <c r="D124" s="21"/>
    </row>
    <row r="125" spans="1:4" ht="47.25" customHeight="1">
      <c r="A125" s="18"/>
      <c r="B125" s="115" t="s">
        <v>119</v>
      </c>
      <c r="C125" s="116"/>
      <c r="D125" s="21"/>
    </row>
    <row r="126" spans="1:4" ht="15" thickBot="1">
      <c r="A126" s="18"/>
      <c r="B126" s="37"/>
      <c r="C126" s="38"/>
      <c r="D126" s="21"/>
    </row>
    <row r="127" spans="1:4" ht="10.4" customHeight="1" thickTop="1" thickBot="1">
      <c r="A127" s="39"/>
      <c r="B127" s="40"/>
      <c r="C127" s="40"/>
      <c r="D127" s="41"/>
    </row>
  </sheetData>
  <mergeCells count="13">
    <mergeCell ref="B28:C28"/>
    <mergeCell ref="B4:C4"/>
    <mergeCell ref="B10:C10"/>
    <mergeCell ref="B19:C19"/>
    <mergeCell ref="B21:C21"/>
    <mergeCell ref="B26:C26"/>
    <mergeCell ref="B125:C125"/>
    <mergeCell ref="B40:C40"/>
    <mergeCell ref="B42:C42"/>
    <mergeCell ref="B88:C88"/>
    <mergeCell ref="B97:C97"/>
    <mergeCell ref="B106:C106"/>
    <mergeCell ref="B115:C115"/>
  </mergeCells>
  <pageMargins left="0.70866141732283472" right="0.70866141732283472" top="0.74803149606299213" bottom="0.74803149606299213" header="0.31496062992125984" footer="0.31496062992125984"/>
  <pageSetup paperSize="8" scale="54"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42C8E-9089-42B6-8DAA-039BFF6A43F9}">
  <sheetPr codeName="Sheet26">
    <pageSetUpPr fitToPage="1"/>
  </sheetPr>
  <dimension ref="A1:T40"/>
  <sheetViews>
    <sheetView topLeftCell="A30" zoomScale="106" workbookViewId="0">
      <selection activeCell="F46" sqref="F46"/>
    </sheetView>
  </sheetViews>
  <sheetFormatPr defaultColWidth="6.6328125" defaultRowHeight="10"/>
  <cols>
    <col min="1" max="1" width="33.81640625" style="44" customWidth="1"/>
    <col min="2" max="11" width="13.1796875" style="44" customWidth="1"/>
    <col min="12" max="16384" width="6.6328125" style="44"/>
  </cols>
  <sheetData>
    <row r="1" spans="1:20" ht="10.5">
      <c r="A1" s="42" t="s">
        <v>120</v>
      </c>
      <c r="B1" s="43"/>
      <c r="C1" s="43"/>
      <c r="D1" s="43"/>
      <c r="E1" s="43"/>
      <c r="F1" s="43"/>
      <c r="G1" s="43"/>
      <c r="H1" s="43"/>
      <c r="I1" s="43"/>
      <c r="J1" s="43"/>
      <c r="K1" s="43"/>
    </row>
    <row r="2" spans="1:20" ht="10.5" thickBot="1"/>
    <row r="3" spans="1:20" ht="21.5" thickBot="1">
      <c r="A3" s="45" t="s">
        <v>121</v>
      </c>
      <c r="B3" s="4" t="s">
        <v>19</v>
      </c>
      <c r="C3" s="4" t="s">
        <v>20</v>
      </c>
      <c r="D3" s="4" t="s">
        <v>21</v>
      </c>
      <c r="E3" s="4" t="s">
        <v>22</v>
      </c>
      <c r="F3" s="4" t="s">
        <v>23</v>
      </c>
      <c r="G3" s="4" t="s">
        <v>24</v>
      </c>
      <c r="H3" s="4" t="s">
        <v>25</v>
      </c>
      <c r="I3" s="4" t="s">
        <v>26</v>
      </c>
      <c r="J3" s="4" t="s">
        <v>27</v>
      </c>
      <c r="K3" s="4" t="s">
        <v>28</v>
      </c>
    </row>
    <row r="4" spans="1:20" ht="11" thickBot="1">
      <c r="A4" s="46" t="s">
        <v>122</v>
      </c>
      <c r="B4" s="47">
        <v>26.283999999999999</v>
      </c>
      <c r="C4" s="47">
        <v>28.542999999999999</v>
      </c>
      <c r="D4" s="47">
        <v>29.591999999999999</v>
      </c>
      <c r="E4" s="47">
        <v>30.85691570125045</v>
      </c>
      <c r="F4" s="47">
        <v>32.02159154579828</v>
      </c>
      <c r="G4" s="47">
        <v>33.191135858249638</v>
      </c>
      <c r="H4" s="47">
        <v>34.451338625423347</v>
      </c>
      <c r="I4" s="47">
        <v>34.968416996992367</v>
      </c>
      <c r="J4" s="47">
        <v>35.743677526317335</v>
      </c>
      <c r="K4" s="47">
        <v>36.469779545789024</v>
      </c>
      <c r="L4" s="48"/>
      <c r="M4" s="48"/>
      <c r="N4" s="48"/>
      <c r="O4" s="48"/>
      <c r="P4" s="48"/>
      <c r="Q4" s="48"/>
      <c r="R4" s="48"/>
      <c r="S4" s="48"/>
      <c r="T4" s="48"/>
    </row>
    <row r="5" spans="1:20" ht="11" thickBot="1">
      <c r="A5" s="46" t="s">
        <v>123</v>
      </c>
      <c r="B5" s="47">
        <v>13.697942999999999</v>
      </c>
      <c r="C5" s="47">
        <v>15.088942999999999</v>
      </c>
      <c r="D5" s="47">
        <v>15.533942999999999</v>
      </c>
      <c r="E5" s="47">
        <v>18.114148000408917</v>
      </c>
      <c r="F5" s="47">
        <v>19.723844970775527</v>
      </c>
      <c r="G5" s="47">
        <v>20.332258315953261</v>
      </c>
      <c r="H5" s="47">
        <v>21.442280485628274</v>
      </c>
      <c r="I5" s="47">
        <v>20.157323320507491</v>
      </c>
      <c r="J5" s="47">
        <v>19.500605672860306</v>
      </c>
      <c r="K5" s="47">
        <v>17.880936929609931</v>
      </c>
      <c r="L5" s="48"/>
      <c r="M5" s="48"/>
      <c r="N5" s="48"/>
      <c r="O5" s="48"/>
      <c r="P5" s="48"/>
      <c r="Q5" s="48"/>
      <c r="R5" s="48"/>
      <c r="S5" s="48"/>
      <c r="T5" s="48"/>
    </row>
    <row r="6" spans="1:20" ht="11" thickBot="1">
      <c r="A6" s="49" t="s">
        <v>124</v>
      </c>
      <c r="B6" s="50">
        <f t="shared" ref="B6:K6" si="0">B4*B8-B5</f>
        <v>32.299057000000005</v>
      </c>
      <c r="C6" s="50">
        <f t="shared" si="0"/>
        <v>34.861306999999996</v>
      </c>
      <c r="D6" s="50">
        <f t="shared" si="0"/>
        <v>36.252057000000001</v>
      </c>
      <c r="E6" s="50">
        <f t="shared" si="0"/>
        <v>35.885454476779373</v>
      </c>
      <c r="F6" s="50">
        <f t="shared" si="0"/>
        <v>36.313940234371458</v>
      </c>
      <c r="G6" s="50">
        <f t="shared" si="0"/>
        <v>37.752229435983601</v>
      </c>
      <c r="H6" s="50">
        <f t="shared" si="0"/>
        <v>38.847562108862583</v>
      </c>
      <c r="I6" s="50">
        <f t="shared" si="0"/>
        <v>41.037406424229147</v>
      </c>
      <c r="J6" s="50">
        <f t="shared" si="0"/>
        <v>43.050829998195027</v>
      </c>
      <c r="K6" s="50">
        <f t="shared" si="0"/>
        <v>45.941177275520857</v>
      </c>
      <c r="L6" s="48"/>
      <c r="M6" s="48"/>
      <c r="N6" s="48"/>
      <c r="O6" s="48"/>
      <c r="P6" s="48"/>
      <c r="Q6" s="48"/>
      <c r="R6" s="48"/>
      <c r="S6" s="48"/>
      <c r="T6" s="48"/>
    </row>
    <row r="7" spans="1:20" ht="10.5" thickBot="1">
      <c r="A7" s="49" t="s">
        <v>125</v>
      </c>
      <c r="B7" s="51">
        <f>IF(B4=0,0,B5/B4)</f>
        <v>0.52115138487292645</v>
      </c>
      <c r="C7" s="51">
        <f t="shared" ref="C7:K7" si="1">IF(C4=0,0,C5/C4)</f>
        <v>0.52863900080580173</v>
      </c>
      <c r="D7" s="51">
        <f t="shared" si="1"/>
        <v>0.52493724655312246</v>
      </c>
      <c r="E7" s="51">
        <f t="shared" si="1"/>
        <v>0.58703689557912808</v>
      </c>
      <c r="F7" s="51">
        <f t="shared" si="1"/>
        <v>0.61595454874770572</v>
      </c>
      <c r="G7" s="51">
        <f t="shared" si="1"/>
        <v>0.61258097351012142</v>
      </c>
      <c r="H7" s="51">
        <f t="shared" si="1"/>
        <v>0.6223932462759213</v>
      </c>
      <c r="I7" s="51">
        <f t="shared" si="1"/>
        <v>0.57644368980846983</v>
      </c>
      <c r="J7" s="51">
        <f t="shared" si="1"/>
        <v>0.54556797236385124</v>
      </c>
      <c r="K7" s="51">
        <f t="shared" si="1"/>
        <v>0.49029462618933078</v>
      </c>
      <c r="L7" s="48"/>
      <c r="M7" s="48"/>
      <c r="N7" s="48"/>
      <c r="O7" s="48"/>
      <c r="P7" s="48"/>
      <c r="Q7" s="48"/>
      <c r="R7" s="48"/>
      <c r="S7" s="48"/>
      <c r="T7" s="48"/>
    </row>
    <row r="8" spans="1:20" ht="10.5" thickBot="1">
      <c r="A8" s="46" t="s">
        <v>126</v>
      </c>
      <c r="B8" s="52">
        <v>1.75</v>
      </c>
      <c r="C8" s="52">
        <v>1.75</v>
      </c>
      <c r="D8" s="52">
        <v>1.75</v>
      </c>
      <c r="E8" s="52">
        <v>1.75</v>
      </c>
      <c r="F8" s="52">
        <v>1.75</v>
      </c>
      <c r="G8" s="52">
        <v>1.75</v>
      </c>
      <c r="H8" s="52">
        <v>1.75</v>
      </c>
      <c r="I8" s="52">
        <v>1.75</v>
      </c>
      <c r="J8" s="52">
        <v>1.75</v>
      </c>
      <c r="K8" s="52">
        <v>1.75</v>
      </c>
    </row>
    <row r="9" spans="1:20" ht="10.5" thickBot="1"/>
    <row r="10" spans="1:20" ht="21.5" thickBot="1">
      <c r="A10" s="45" t="s">
        <v>127</v>
      </c>
      <c r="B10" s="4" t="s">
        <v>19</v>
      </c>
      <c r="C10" s="4" t="s">
        <v>20</v>
      </c>
      <c r="D10" s="4" t="s">
        <v>21</v>
      </c>
      <c r="E10" s="4" t="s">
        <v>22</v>
      </c>
      <c r="F10" s="4" t="s">
        <v>23</v>
      </c>
      <c r="G10" s="4" t="s">
        <v>24</v>
      </c>
      <c r="H10" s="4" t="s">
        <v>25</v>
      </c>
      <c r="I10" s="4" t="s">
        <v>26</v>
      </c>
      <c r="J10" s="4" t="s">
        <v>27</v>
      </c>
      <c r="K10" s="4" t="s">
        <v>28</v>
      </c>
    </row>
    <row r="11" spans="1:20" ht="11" thickBot="1">
      <c r="A11" s="46" t="s">
        <v>122</v>
      </c>
      <c r="B11" s="47">
        <f>'2. Measures'!E$61/1000</f>
        <v>6.88</v>
      </c>
      <c r="C11" s="47">
        <f>'2. Measures'!F$61/1000</f>
        <v>8.3040000000000003</v>
      </c>
      <c r="D11" s="47">
        <f>'2. Measures'!G$61/1000</f>
        <v>9.4740000000000002</v>
      </c>
      <c r="E11" s="47">
        <f>'2. Measures'!H$61/1000</f>
        <v>10.322915701250452</v>
      </c>
      <c r="F11" s="47">
        <f>'2. Measures'!I$61/1000</f>
        <v>11.02459154579828</v>
      </c>
      <c r="G11" s="47">
        <f>'2. Measures'!J$61/1000</f>
        <v>11.768135858249638</v>
      </c>
      <c r="H11" s="47">
        <f>'2. Measures'!K$61/1000</f>
        <v>12.472338625423342</v>
      </c>
      <c r="I11" s="47">
        <f>'2. Measures'!L$61/1000</f>
        <v>12.708416996992369</v>
      </c>
      <c r="J11" s="47">
        <f>'2. Measures'!M$61/1000</f>
        <v>13.050677526317335</v>
      </c>
      <c r="K11" s="47">
        <f>'2. Measures'!N$61/1000</f>
        <v>13.279779545789024</v>
      </c>
    </row>
    <row r="12" spans="1:20" ht="11" thickBot="1">
      <c r="A12" s="46" t="s">
        <v>123</v>
      </c>
      <c r="B12" s="47">
        <f>'2. Measures'!E$64/1000</f>
        <v>28.623943000000001</v>
      </c>
      <c r="C12" s="47">
        <f>'2. Measures'!F$64/1000</f>
        <v>32.028942999999998</v>
      </c>
      <c r="D12" s="47">
        <f>'2. Measures'!G$64/1000</f>
        <v>34.292943000000001</v>
      </c>
      <c r="E12" s="47">
        <f>'2. Measures'!H$64/1000</f>
        <v>38.54614800040892</v>
      </c>
      <c r="F12" s="47">
        <f>'2. Measures'!I$64/1000</f>
        <v>42.193844970775523</v>
      </c>
      <c r="G12" s="47">
        <f>'2. Measures'!J$64/1000</f>
        <v>45.085258315953268</v>
      </c>
      <c r="H12" s="47">
        <f>'2. Measures'!K$64/1000</f>
        <v>48.713280485628296</v>
      </c>
      <c r="I12" s="47">
        <f>'2. Measures'!L$64/1000</f>
        <v>49.745323320507502</v>
      </c>
      <c r="J12" s="47">
        <f>'2. Measures'!M$64/1000</f>
        <v>51.310605672860319</v>
      </c>
      <c r="K12" s="47">
        <f>'2. Measures'!N$64/1000</f>
        <v>52.052936929609956</v>
      </c>
    </row>
    <row r="13" spans="1:20" ht="11" thickBot="1">
      <c r="A13" s="49" t="s">
        <v>124</v>
      </c>
      <c r="B13" s="50">
        <f t="shared" ref="B13:K13" si="2">B11*B15-B12</f>
        <v>5.776056999999998</v>
      </c>
      <c r="C13" s="50">
        <f t="shared" si="2"/>
        <v>9.491057000000005</v>
      </c>
      <c r="D13" s="50">
        <f t="shared" si="2"/>
        <v>13.077057000000003</v>
      </c>
      <c r="E13" s="50">
        <f t="shared" si="2"/>
        <v>13.068430505843338</v>
      </c>
      <c r="F13" s="50">
        <f t="shared" si="2"/>
        <v>12.929112758215879</v>
      </c>
      <c r="G13" s="50">
        <f t="shared" si="2"/>
        <v>13.755420975294918</v>
      </c>
      <c r="H13" s="50">
        <f t="shared" si="2"/>
        <v>13.648412641488413</v>
      </c>
      <c r="I13" s="50">
        <f t="shared" si="2"/>
        <v>13.796761664454344</v>
      </c>
      <c r="J13" s="50">
        <f t="shared" si="2"/>
        <v>13.942781958726357</v>
      </c>
      <c r="K13" s="50">
        <f t="shared" si="2"/>
        <v>14.34596079933516</v>
      </c>
    </row>
    <row r="14" spans="1:20" ht="10.5" thickBot="1">
      <c r="A14" s="49" t="s">
        <v>125</v>
      </c>
      <c r="B14" s="51">
        <f t="shared" ref="B14:K14" si="3">B12/B11</f>
        <v>4.1604568313953489</v>
      </c>
      <c r="C14" s="51">
        <f t="shared" si="3"/>
        <v>3.857049975915221</v>
      </c>
      <c r="D14" s="51">
        <f t="shared" si="3"/>
        <v>3.6196899936668778</v>
      </c>
      <c r="E14" s="51">
        <f t="shared" si="3"/>
        <v>3.7340368860843927</v>
      </c>
      <c r="F14" s="51">
        <f t="shared" si="3"/>
        <v>3.827247911679462</v>
      </c>
      <c r="G14" s="51">
        <f t="shared" si="3"/>
        <v>3.8311299987540366</v>
      </c>
      <c r="H14" s="51">
        <f t="shared" si="3"/>
        <v>3.9057054132840983</v>
      </c>
      <c r="I14" s="51">
        <f t="shared" si="3"/>
        <v>3.9143603276694847</v>
      </c>
      <c r="J14" s="51">
        <f t="shared" si="3"/>
        <v>3.9316430560321449</v>
      </c>
      <c r="K14" s="51">
        <f t="shared" si="3"/>
        <v>3.9197139342660079</v>
      </c>
    </row>
    <row r="15" spans="1:20" ht="10.5" thickBot="1">
      <c r="A15" s="53" t="s">
        <v>128</v>
      </c>
      <c r="B15" s="54">
        <f>'2. Measures'!E$62</f>
        <v>5</v>
      </c>
      <c r="C15" s="54">
        <f>'2. Measures'!F$62</f>
        <v>5</v>
      </c>
      <c r="D15" s="54">
        <f>'2. Measures'!G$62</f>
        <v>5</v>
      </c>
      <c r="E15" s="54">
        <f>'2. Measures'!H$62</f>
        <v>5</v>
      </c>
      <c r="F15" s="54">
        <f>'2. Measures'!I$62</f>
        <v>5</v>
      </c>
      <c r="G15" s="54">
        <f>'2. Measures'!J$62</f>
        <v>5</v>
      </c>
      <c r="H15" s="54">
        <f>'2. Measures'!K$62</f>
        <v>5</v>
      </c>
      <c r="I15" s="54">
        <f>'2. Measures'!L$62</f>
        <v>5</v>
      </c>
      <c r="J15" s="54">
        <f>'2. Measures'!M$62</f>
        <v>5</v>
      </c>
      <c r="K15" s="54">
        <f>'2. Measures'!N$62</f>
        <v>5</v>
      </c>
    </row>
    <row r="16" spans="1:20" ht="10.5" thickBot="1">
      <c r="A16" s="46" t="s">
        <v>129</v>
      </c>
      <c r="B16" s="54">
        <v>1.5</v>
      </c>
      <c r="C16" s="54">
        <v>1.5</v>
      </c>
      <c r="D16" s="54">
        <v>1.5</v>
      </c>
      <c r="E16" s="54">
        <v>1.5</v>
      </c>
      <c r="F16" s="54">
        <v>1.5</v>
      </c>
      <c r="G16" s="54">
        <v>1.5</v>
      </c>
      <c r="H16" s="54">
        <v>1.5</v>
      </c>
      <c r="I16" s="54">
        <v>1.5</v>
      </c>
      <c r="J16" s="54">
        <v>1.5</v>
      </c>
      <c r="K16" s="54">
        <v>1.5</v>
      </c>
    </row>
    <row r="17" spans="1:11" ht="10.5" thickBot="1">
      <c r="A17" s="55"/>
      <c r="B17" s="56"/>
      <c r="C17" s="56"/>
      <c r="D17" s="56"/>
      <c r="E17" s="56"/>
      <c r="F17" s="56"/>
      <c r="G17" s="56"/>
      <c r="H17" s="56"/>
      <c r="I17" s="56"/>
      <c r="J17" s="56"/>
      <c r="K17" s="56"/>
    </row>
    <row r="18" spans="1:11" ht="21.5" thickBot="1">
      <c r="A18" s="45" t="s">
        <v>130</v>
      </c>
      <c r="B18" s="4" t="s">
        <v>19</v>
      </c>
      <c r="C18" s="4" t="s">
        <v>20</v>
      </c>
      <c r="D18" s="4" t="s">
        <v>21</v>
      </c>
      <c r="E18" s="4" t="s">
        <v>22</v>
      </c>
      <c r="F18" s="4" t="s">
        <v>23</v>
      </c>
      <c r="G18" s="4" t="s">
        <v>24</v>
      </c>
      <c r="H18" s="4" t="s">
        <v>25</v>
      </c>
      <c r="I18" s="4" t="s">
        <v>26</v>
      </c>
      <c r="J18" s="4" t="s">
        <v>27</v>
      </c>
      <c r="K18" s="4" t="s">
        <v>28</v>
      </c>
    </row>
    <row r="19" spans="1:11" ht="11" thickBot="1">
      <c r="A19" s="46" t="s">
        <v>131</v>
      </c>
      <c r="B19" s="47">
        <f>'4. Financials - water services'!E$30/1000</f>
        <v>4.5949999999999998</v>
      </c>
      <c r="C19" s="47">
        <f>'4. Financials - water services'!F$30/1000</f>
        <v>6.4160000000000004</v>
      </c>
      <c r="D19" s="47">
        <f>'4. Financials - water services'!G$30/1000</f>
        <v>6.15</v>
      </c>
      <c r="E19" s="47">
        <f>'4. Financials - water services'!H$30/1000</f>
        <v>5.63</v>
      </c>
      <c r="F19" s="47">
        <f>'4. Financials - water services'!I$30/1000</f>
        <v>5.165</v>
      </c>
      <c r="G19" s="47">
        <f>'4. Financials - water services'!J$30/1000</f>
        <v>5.0821043860272344</v>
      </c>
      <c r="H19" s="47">
        <f>'4. Financials - water services'!K$30/1000</f>
        <v>6.123268127778962</v>
      </c>
      <c r="I19" s="47">
        <f>'4. Financials - water services'!L$30/1000</f>
        <v>5.9762675630375561</v>
      </c>
      <c r="J19" s="47">
        <f>'4. Financials - water services'!M$30/1000</f>
        <v>6.6614214815059016</v>
      </c>
      <c r="K19" s="47">
        <f>'4. Financials - water services'!N$30/1000</f>
        <v>5.9061395950711191</v>
      </c>
    </row>
    <row r="20" spans="1:11" ht="11" thickBot="1">
      <c r="A20" s="46" t="s">
        <v>132</v>
      </c>
      <c r="B20" s="47">
        <f>'4. Financials - water services'!E$29/1000</f>
        <v>0.96</v>
      </c>
      <c r="C20" s="47">
        <f>'4. Financials - water services'!F$29/1000</f>
        <v>0.38200000000000001</v>
      </c>
      <c r="D20" s="47">
        <f>'4. Financials - water services'!G$29/1000</f>
        <v>0.28499999999999998</v>
      </c>
      <c r="E20" s="47">
        <f>'4. Financials - water services'!H$29/1000</f>
        <v>1.1619999999999999</v>
      </c>
      <c r="F20" s="47">
        <f>'4. Financials - water services'!I$29/1000</f>
        <v>2.609</v>
      </c>
      <c r="G20" s="47">
        <f>'4. Financials - water services'!J$29/1000</f>
        <v>2.3658974375370043</v>
      </c>
      <c r="H20" s="47">
        <f>'4. Financials - water services'!K$29/1000</f>
        <v>2.4222806471111111</v>
      </c>
      <c r="I20" s="47">
        <f>'4. Financials - water services'!L$29/1000</f>
        <v>7.5713440581873306E-2</v>
      </c>
      <c r="J20" s="47">
        <f>'4. Financials - water services'!M$29/1000</f>
        <v>7.9548375019920139E-2</v>
      </c>
      <c r="K20" s="47">
        <f>'4. Financials - water services'!N$29/1000</f>
        <v>8.5353915826546084E-2</v>
      </c>
    </row>
    <row r="21" spans="1:11" ht="11" thickBot="1">
      <c r="A21" s="46" t="s">
        <v>133</v>
      </c>
      <c r="B21" s="47">
        <f>'4. Financials - water services'!E$28/1000</f>
        <v>7.4999999999999997E-2</v>
      </c>
      <c r="C21" s="47">
        <f>'4. Financials - water services'!F$28/1000</f>
        <v>7.6999999999999999E-2</v>
      </c>
      <c r="D21" s="47">
        <f>'4. Financials - water services'!G$28/1000</f>
        <v>0.08</v>
      </c>
      <c r="E21" s="47">
        <f>'4. Financials - water services'!H$28/1000</f>
        <v>8.3000000000000004E-2</v>
      </c>
      <c r="F21" s="47">
        <f>'4. Financials - water services'!I$28/1000</f>
        <v>8.5000000000000006E-2</v>
      </c>
      <c r="G21" s="47">
        <f>'4. Financials - water services'!J$28/1000</f>
        <v>8.5939509769094147E-2</v>
      </c>
      <c r="H21" s="47">
        <f>'4. Financials - water services'!K$28/1000</f>
        <v>8.8806048221038089E-2</v>
      </c>
      <c r="I21" s="47">
        <f>'4. Financials - water services'!L$28/1000</f>
        <v>9.0603996316570748E-2</v>
      </c>
      <c r="J21" s="47">
        <f>'4. Financials - water services'!M$28/1000</f>
        <v>9.239406274406671E-2</v>
      </c>
      <c r="K21" s="47">
        <f>'4. Financials - water services'!N$28/1000</f>
        <v>9.4176296340322457E-2</v>
      </c>
    </row>
    <row r="22" spans="1:11" ht="11" thickBot="1">
      <c r="A22" s="46" t="s">
        <v>134</v>
      </c>
      <c r="B22" s="47">
        <f>'4. Financials - water services'!E$47/1000</f>
        <v>2.2709999999999999</v>
      </c>
      <c r="C22" s="47">
        <f>'4. Financials - water services'!F$47/1000</f>
        <v>2.395</v>
      </c>
      <c r="D22" s="47">
        <f>'4. Financials - water services'!G$47/1000</f>
        <v>2.7829999999999999</v>
      </c>
      <c r="E22" s="47">
        <f>'4. Financials - water services'!H$47/1000</f>
        <v>2.859</v>
      </c>
      <c r="F22" s="47">
        <f>'4. Financials - water services'!I$47/1000</f>
        <v>3.1549999999999998</v>
      </c>
      <c r="G22" s="47">
        <f>'4. Financials - water services'!J$47/1000</f>
        <v>3.2509999999999999</v>
      </c>
      <c r="H22" s="47">
        <f>'4. Financials - water services'!K$47/1000</f>
        <v>3.3278640720720718</v>
      </c>
      <c r="I22" s="47">
        <f>'4. Financials - water services'!L$47/1000</f>
        <v>3.5963958940060059</v>
      </c>
      <c r="J22" s="47">
        <f>'4. Financials - water services'!M$47/1000</f>
        <v>3.6007281237348709</v>
      </c>
      <c r="K22" s="47">
        <f>'4. Financials - water services'!N$47/1000</f>
        <v>3.5946114199412205</v>
      </c>
    </row>
    <row r="23" spans="1:11" ht="10.5" thickBot="1"/>
    <row r="24" spans="1:11" ht="11" thickBot="1">
      <c r="A24" s="45" t="s">
        <v>135</v>
      </c>
      <c r="B24" s="4" t="s">
        <v>19</v>
      </c>
      <c r="C24" s="4" t="s">
        <v>20</v>
      </c>
      <c r="D24" s="4" t="s">
        <v>21</v>
      </c>
      <c r="E24" s="4" t="s">
        <v>22</v>
      </c>
      <c r="F24" s="4" t="s">
        <v>23</v>
      </c>
      <c r="G24" s="4" t="s">
        <v>24</v>
      </c>
      <c r="H24" s="4" t="s">
        <v>25</v>
      </c>
      <c r="I24" s="4" t="s">
        <v>26</v>
      </c>
      <c r="J24" s="4" t="s">
        <v>27</v>
      </c>
      <c r="K24" s="4" t="s">
        <v>28</v>
      </c>
    </row>
    <row r="25" spans="1:11" ht="11" thickBot="1">
      <c r="A25" s="46" t="s">
        <v>136</v>
      </c>
      <c r="B25" s="47">
        <f>'2. Measures'!E56</f>
        <v>28623.942999999999</v>
      </c>
      <c r="C25" s="47">
        <f>'2. Measures'!F56</f>
        <v>32028.942999999999</v>
      </c>
      <c r="D25" s="47">
        <f>'2. Measures'!G56</f>
        <v>34292.942999999999</v>
      </c>
      <c r="E25" s="47">
        <f>'2. Measures'!H56</f>
        <v>38546.148000408917</v>
      </c>
      <c r="F25" s="47">
        <f>'2. Measures'!I56</f>
        <v>42193.844970775521</v>
      </c>
      <c r="G25" s="47">
        <f>'2. Measures'!J56</f>
        <v>45085.258315953266</v>
      </c>
      <c r="H25" s="47">
        <f>'2. Measures'!K56</f>
        <v>48713.280485628296</v>
      </c>
      <c r="I25" s="47">
        <f>'2. Measures'!L56</f>
        <v>49745.323320507501</v>
      </c>
      <c r="J25" s="47">
        <f>'2. Measures'!M56</f>
        <v>51310.605672860322</v>
      </c>
      <c r="K25" s="47">
        <f>'2. Measures'!N56</f>
        <v>52052.936929609954</v>
      </c>
    </row>
    <row r="26" spans="1:11" ht="11" thickBot="1">
      <c r="A26" s="46" t="s">
        <v>137</v>
      </c>
      <c r="B26" s="47">
        <f>'2. Measures'!E74</f>
        <v>2825.5569999999998</v>
      </c>
      <c r="C26" s="47">
        <f>'2. Measures'!F74</f>
        <v>3342.5</v>
      </c>
      <c r="D26" s="47">
        <f>'2. Measures'!G74</f>
        <v>4121</v>
      </c>
      <c r="E26" s="47">
        <f>'2. Measures'!H74</f>
        <v>3739.7949995910822</v>
      </c>
      <c r="F26" s="47">
        <f>'2. Measures'!I74</f>
        <v>4077.8030296333891</v>
      </c>
      <c r="G26" s="47">
        <f>'2. Measures'!J74</f>
        <v>4508.5279881555898</v>
      </c>
      <c r="H26" s="47">
        <f>'2. Measures'!K74</f>
        <v>4871.3326534360867</v>
      </c>
      <c r="I26" s="47">
        <f>'2. Measures'!L74</f>
        <v>4974.5421650567914</v>
      </c>
      <c r="J26" s="47">
        <f>'2. Measures'!M74</f>
        <v>5131.0815669170679</v>
      </c>
      <c r="K26" s="57">
        <f>'2. Measures'!N74</f>
        <v>5205.3385504883609</v>
      </c>
    </row>
    <row r="27" spans="1:11" ht="11" thickBot="1">
      <c r="A27" s="49" t="s">
        <v>138</v>
      </c>
      <c r="B27" s="58">
        <f t="shared" ref="B27:K27" si="4">B26/B25</f>
        <v>9.8713059902334199E-2</v>
      </c>
      <c r="C27" s="58">
        <f t="shared" si="4"/>
        <v>0.10435873578469324</v>
      </c>
      <c r="D27" s="58">
        <f t="shared" si="4"/>
        <v>0.12017049688619609</v>
      </c>
      <c r="E27" s="58">
        <f t="shared" si="4"/>
        <v>9.7021238011938529E-2</v>
      </c>
      <c r="F27" s="58">
        <f t="shared" si="4"/>
        <v>9.664449951071713E-2</v>
      </c>
      <c r="G27" s="58">
        <f t="shared" si="4"/>
        <v>0.10000004783293573</v>
      </c>
      <c r="H27" s="58">
        <f t="shared" si="4"/>
        <v>0.10000009453014068</v>
      </c>
      <c r="I27" s="58">
        <f t="shared" si="4"/>
        <v>0.10000019766694404</v>
      </c>
      <c r="J27" s="58">
        <f t="shared" si="4"/>
        <v>0.10000040926492214</v>
      </c>
      <c r="K27" s="58">
        <f t="shared" si="4"/>
        <v>0.10000086176746234</v>
      </c>
    </row>
    <row r="28" spans="1:11" ht="10.5" thickBot="1"/>
    <row r="29" spans="1:11" ht="11" thickBot="1">
      <c r="A29" s="45" t="s">
        <v>139</v>
      </c>
      <c r="B29" s="4" t="s">
        <v>19</v>
      </c>
      <c r="C29" s="4" t="s">
        <v>20</v>
      </c>
      <c r="D29" s="4" t="s">
        <v>21</v>
      </c>
      <c r="E29" s="4" t="s">
        <v>22</v>
      </c>
      <c r="F29" s="4" t="s">
        <v>23</v>
      </c>
      <c r="G29" s="4" t="s">
        <v>24</v>
      </c>
      <c r="H29" s="4" t="s">
        <v>25</v>
      </c>
      <c r="I29" s="4" t="s">
        <v>26</v>
      </c>
      <c r="J29" s="4" t="s">
        <v>27</v>
      </c>
      <c r="K29" s="4" t="s">
        <v>28</v>
      </c>
    </row>
    <row r="30" spans="1:11" ht="11" thickBot="1">
      <c r="A30" s="46" t="s">
        <v>140</v>
      </c>
      <c r="B30" s="59">
        <f>Input!$F$15</f>
        <v>0.09</v>
      </c>
      <c r="C30" s="59">
        <f>Input!$F$15</f>
        <v>0.09</v>
      </c>
      <c r="D30" s="59">
        <f>Input!$F$15</f>
        <v>0.09</v>
      </c>
      <c r="E30" s="59">
        <f>Input!$F$15</f>
        <v>0.09</v>
      </c>
      <c r="F30" s="59">
        <f>Input!$F$15</f>
        <v>0.09</v>
      </c>
      <c r="G30" s="59">
        <f>Input!$F$15</f>
        <v>0.09</v>
      </c>
      <c r="H30" s="59">
        <f>Input!$F$15</f>
        <v>0.09</v>
      </c>
      <c r="I30" s="59">
        <f>Input!$F$15</f>
        <v>0.09</v>
      </c>
      <c r="J30" s="59">
        <f>Input!$F$15</f>
        <v>0.09</v>
      </c>
      <c r="K30" s="59">
        <f>Input!$F$15</f>
        <v>0.09</v>
      </c>
    </row>
    <row r="31" spans="1:11" ht="11" thickBot="1">
      <c r="A31" s="46" t="s">
        <v>141</v>
      </c>
      <c r="B31" s="60">
        <f t="shared" ref="B31:K31" si="5">B26</f>
        <v>2825.5569999999998</v>
      </c>
      <c r="C31" s="60">
        <f t="shared" si="5"/>
        <v>3342.5</v>
      </c>
      <c r="D31" s="60">
        <f t="shared" si="5"/>
        <v>4121</v>
      </c>
      <c r="E31" s="60">
        <f t="shared" si="5"/>
        <v>3739.7949995910822</v>
      </c>
      <c r="F31" s="60">
        <f t="shared" si="5"/>
        <v>4077.8030296333891</v>
      </c>
      <c r="G31" s="60">
        <f t="shared" si="5"/>
        <v>4508.5279881555898</v>
      </c>
      <c r="H31" s="60">
        <f t="shared" si="5"/>
        <v>4871.3326534360867</v>
      </c>
      <c r="I31" s="60">
        <f t="shared" si="5"/>
        <v>4974.5421650567914</v>
      </c>
      <c r="J31" s="60">
        <f t="shared" si="5"/>
        <v>5131.0815669170679</v>
      </c>
      <c r="K31" s="61">
        <f t="shared" si="5"/>
        <v>5205.3385504883609</v>
      </c>
    </row>
    <row r="32" spans="1:11" ht="11" thickBot="1">
      <c r="A32" s="46" t="s">
        <v>142</v>
      </c>
      <c r="B32" s="62">
        <f t="shared" ref="B32:K32" si="6">B25</f>
        <v>28623.942999999999</v>
      </c>
      <c r="C32" s="62">
        <f t="shared" si="6"/>
        <v>32028.942999999999</v>
      </c>
      <c r="D32" s="62">
        <f t="shared" si="6"/>
        <v>34292.942999999999</v>
      </c>
      <c r="E32" s="62">
        <f t="shared" si="6"/>
        <v>38546.148000408917</v>
      </c>
      <c r="F32" s="62">
        <f t="shared" si="6"/>
        <v>42193.844970775521</v>
      </c>
      <c r="G32" s="62">
        <f t="shared" si="6"/>
        <v>45085.258315953266</v>
      </c>
      <c r="H32" s="62">
        <f t="shared" si="6"/>
        <v>48713.280485628296</v>
      </c>
      <c r="I32" s="62">
        <f t="shared" si="6"/>
        <v>49745.323320507501</v>
      </c>
      <c r="J32" s="62">
        <f t="shared" si="6"/>
        <v>51310.605672860322</v>
      </c>
      <c r="K32" s="62">
        <f t="shared" si="6"/>
        <v>52052.936929609954</v>
      </c>
    </row>
    <row r="33" spans="1:11" ht="11" thickBot="1">
      <c r="A33" s="63" t="s">
        <v>143</v>
      </c>
      <c r="B33" s="64">
        <f>(B31/B30)-B32</f>
        <v>2771.1347777777773</v>
      </c>
      <c r="C33" s="64">
        <f t="shared" ref="C33:K33" si="7">(C31/C30)-C32</f>
        <v>5109.9458888888912</v>
      </c>
      <c r="D33" s="64">
        <f t="shared" si="7"/>
        <v>11495.945888888891</v>
      </c>
      <c r="E33" s="64">
        <f t="shared" si="7"/>
        <v>3007.1297728253339</v>
      </c>
      <c r="F33" s="64">
        <f t="shared" si="7"/>
        <v>3115.0775807065802</v>
      </c>
      <c r="G33" s="64">
        <f t="shared" si="7"/>
        <v>5009.4971079977331</v>
      </c>
      <c r="H33" s="64">
        <f t="shared" si="7"/>
        <v>5412.6378858837779</v>
      </c>
      <c r="I33" s="64">
        <f t="shared" si="7"/>
        <v>5527.3674023457424</v>
      </c>
      <c r="J33" s="64">
        <f t="shared" si="7"/>
        <v>5701.4117373293266</v>
      </c>
      <c r="K33" s="64">
        <f t="shared" si="7"/>
        <v>5784.1580758162818</v>
      </c>
    </row>
    <row r="34" spans="1:11" ht="10.5" thickBot="1"/>
    <row r="35" spans="1:11" ht="21.5" thickBot="1">
      <c r="A35" s="45" t="s">
        <v>144</v>
      </c>
      <c r="B35" s="4" t="s">
        <v>19</v>
      </c>
      <c r="C35" s="4" t="s">
        <v>20</v>
      </c>
      <c r="D35" s="4" t="s">
        <v>21</v>
      </c>
      <c r="E35" s="4" t="s">
        <v>22</v>
      </c>
      <c r="F35" s="4" t="s">
        <v>23</v>
      </c>
      <c r="G35" s="4" t="s">
        <v>24</v>
      </c>
      <c r="H35" s="4" t="s">
        <v>25</v>
      </c>
      <c r="I35" s="4" t="s">
        <v>26</v>
      </c>
      <c r="J35" s="4" t="s">
        <v>27</v>
      </c>
      <c r="K35" s="4" t="s">
        <v>28</v>
      </c>
    </row>
    <row r="36" spans="1:11" ht="10.5" thickBot="1">
      <c r="A36" s="46" t="s">
        <v>145</v>
      </c>
      <c r="B36" s="65">
        <f>'4. Financials - water services'!E$48/1000-B37-B38</f>
        <v>3.9000000000000004</v>
      </c>
      <c r="C36" s="65">
        <f>'4. Financials - water services'!F$48/1000-C37-C38</f>
        <v>4.0890000000000004</v>
      </c>
      <c r="D36" s="65">
        <f>'4. Financials - water services'!G$48/1000-D37-D38</f>
        <v>4.277000000000001</v>
      </c>
      <c r="E36" s="65">
        <f>'4. Financials - water services'!H$48/1000-E37-E38</f>
        <v>4.5605064006765854</v>
      </c>
      <c r="F36" s="65">
        <f>'4. Financials - water services'!I$48/1000-F37-F38</f>
        <v>4.6914440606935006</v>
      </c>
      <c r="G36" s="65">
        <f>'4. Financials - water services'!J$48/1000-G37-G38</f>
        <v>4.8116825316456371</v>
      </c>
      <c r="H36" s="65">
        <f>'4. Financials - water services'!K$48/1000-H37-H38</f>
        <v>4.9618640651450745</v>
      </c>
      <c r="I36" s="65">
        <f>'4. Financials - water services'!L$48/1000-I37-I38</f>
        <v>4.9565077307859919</v>
      </c>
      <c r="J36" s="65">
        <f>'4. Financials - water services'!M$48/1000-J37-J38</f>
        <v>5.0670252120206207</v>
      </c>
      <c r="K36" s="65">
        <f>'4. Financials - water services'!N$48/1000-K37-K38</f>
        <v>5.1561242204714333</v>
      </c>
    </row>
    <row r="37" spans="1:11" ht="10.5" thickBot="1">
      <c r="A37" s="46" t="s">
        <v>146</v>
      </c>
      <c r="B37" s="65">
        <f>'4. Financials - water services'!E$45/1000</f>
        <v>0.77894299999999994</v>
      </c>
      <c r="C37" s="65">
        <f>'4. Financials - water services'!F$45/1000</f>
        <v>1</v>
      </c>
      <c r="D37" s="65">
        <f>'4. Financials - water services'!G$45/1000</f>
        <v>1.206</v>
      </c>
      <c r="E37" s="65">
        <f>'4. Financials - water services'!H$45/1000</f>
        <v>2.1546143009827836</v>
      </c>
      <c r="F37" s="65">
        <f>'4. Financials - water services'!I$45/1000</f>
        <v>2.3888444554713919</v>
      </c>
      <c r="G37" s="65">
        <f>'4. Financials - water services'!J$45/1000</f>
        <v>2.581925338448412</v>
      </c>
      <c r="H37" s="65">
        <f>'4. Financials - water services'!K$45/1000</f>
        <v>2.7741419068421815</v>
      </c>
      <c r="I37" s="65">
        <f>'4. Financials - water services'!L$45/1000</f>
        <v>2.9133671011495861</v>
      </c>
      <c r="J37" s="65">
        <f>'4. Financials - water services'!M$45/1000</f>
        <v>2.9895707473796458</v>
      </c>
      <c r="K37" s="65">
        <f>'4. Financials - water services'!N$45/1000</f>
        <v>3.0563167748292308</v>
      </c>
    </row>
    <row r="38" spans="1:11" ht="10.5" thickBot="1">
      <c r="A38" s="46" t="s">
        <v>134</v>
      </c>
      <c r="B38" s="65">
        <f>'4. Financials - water services'!E$47/1000</f>
        <v>2.2709999999999999</v>
      </c>
      <c r="C38" s="65">
        <f>'4. Financials - water services'!F$47/1000</f>
        <v>2.395</v>
      </c>
      <c r="D38" s="65">
        <f>'4. Financials - water services'!G$47/1000</f>
        <v>2.7829999999999999</v>
      </c>
      <c r="E38" s="65">
        <f>'4. Financials - water services'!H$47/1000</f>
        <v>2.859</v>
      </c>
      <c r="F38" s="65">
        <f>'4. Financials - water services'!I$47/1000</f>
        <v>3.1549999999999998</v>
      </c>
      <c r="G38" s="65">
        <f>'4. Financials - water services'!J$47/1000</f>
        <v>3.2509999999999999</v>
      </c>
      <c r="H38" s="65">
        <f>'4. Financials - water services'!K$47/1000</f>
        <v>3.3278640720720718</v>
      </c>
      <c r="I38" s="65">
        <f>'4. Financials - water services'!L$47/1000</f>
        <v>3.5963958940060059</v>
      </c>
      <c r="J38" s="65">
        <f>'4. Financials - water services'!M$47/1000</f>
        <v>3.6007281237348709</v>
      </c>
      <c r="K38" s="65">
        <f>'4. Financials - water services'!N$47/1000</f>
        <v>3.5946114199412205</v>
      </c>
    </row>
    <row r="39" spans="1:11" ht="10.5" thickBot="1">
      <c r="A39" s="46" t="s">
        <v>147</v>
      </c>
      <c r="B39" s="65">
        <f>'4. Financials - water services'!E$40/1000</f>
        <v>6.88</v>
      </c>
      <c r="C39" s="65">
        <f>'4. Financials - water services'!F$40/1000</f>
        <v>8.3040000000000003</v>
      </c>
      <c r="D39" s="65">
        <f>'4. Financials - water services'!G$40/1000</f>
        <v>9.4740000000000002</v>
      </c>
      <c r="E39" s="65">
        <f>'4. Financials - water services'!H$40/1000</f>
        <v>10.322915701250452</v>
      </c>
      <c r="F39" s="65">
        <f>'4. Financials - water services'!I$40/1000</f>
        <v>11.02459154579828</v>
      </c>
      <c r="G39" s="65">
        <f>'4. Financials - water services'!J$40/1000</f>
        <v>11.768135858249638</v>
      </c>
      <c r="H39" s="65">
        <f>'4. Financials - water services'!K$40/1000</f>
        <v>12.472338625423342</v>
      </c>
      <c r="I39" s="65">
        <f>'4. Financials - water services'!L$40/1000</f>
        <v>12.708416996992369</v>
      </c>
      <c r="J39" s="65">
        <f>'4. Financials - water services'!M$40/1000</f>
        <v>13.050677526317335</v>
      </c>
      <c r="K39" s="65">
        <f>'4. Financials - water services'!N$40/1000</f>
        <v>13.279779545789024</v>
      </c>
    </row>
    <row r="40" spans="1:11" ht="10.5" thickBot="1">
      <c r="A40" s="49" t="s">
        <v>148</v>
      </c>
      <c r="B40" s="66">
        <f t="shared" ref="B40:K40" si="8">B39-SUM(B36:B38)</f>
        <v>-6.994300000000031E-2</v>
      </c>
      <c r="C40" s="66">
        <f t="shared" si="8"/>
        <v>0.82000000000000028</v>
      </c>
      <c r="D40" s="66">
        <f t="shared" si="8"/>
        <v>1.2080000000000002</v>
      </c>
      <c r="E40" s="66">
        <f t="shared" si="8"/>
        <v>0.74879499959108209</v>
      </c>
      <c r="F40" s="66">
        <f t="shared" si="8"/>
        <v>0.78930302963338761</v>
      </c>
      <c r="G40" s="66">
        <f t="shared" si="8"/>
        <v>1.1235279881555886</v>
      </c>
      <c r="H40" s="66">
        <f t="shared" si="8"/>
        <v>1.4084685813640139</v>
      </c>
      <c r="I40" s="66">
        <f t="shared" si="8"/>
        <v>1.2421462710507853</v>
      </c>
      <c r="J40" s="66">
        <f t="shared" si="8"/>
        <v>1.3933534431821979</v>
      </c>
      <c r="K40" s="66">
        <f t="shared" si="8"/>
        <v>1.4727271305471401</v>
      </c>
    </row>
  </sheetData>
  <pageMargins left="0.7" right="0.7" top="0.75" bottom="0.75" header="0.3" footer="0.3"/>
  <pageSetup paperSize="9" scale="7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A0663-7CAC-4969-B752-F1A632DF2A6A}">
  <sheetPr codeName="Sheet27">
    <pageSetUpPr fitToPage="1"/>
  </sheetPr>
  <dimension ref="A1:AA80"/>
  <sheetViews>
    <sheetView tabSelected="1" topLeftCell="C1" zoomScale="115" zoomScaleNormal="115" workbookViewId="0">
      <selection activeCell="A18" sqref="A18"/>
    </sheetView>
  </sheetViews>
  <sheetFormatPr defaultColWidth="6.6328125" defaultRowHeight="10.5" outlineLevelCol="1"/>
  <cols>
    <col min="1" max="1" width="55.6328125" style="1" customWidth="1"/>
    <col min="2" max="2" width="1.54296875" style="1" customWidth="1" outlineLevel="1"/>
    <col min="3" max="3" width="9.54296875" style="1" customWidth="1" outlineLevel="1"/>
    <col min="4" max="4" width="1.54296875" style="1" customWidth="1" outlineLevel="1"/>
    <col min="5" max="15" width="13.1796875" style="1" customWidth="1"/>
    <col min="16" max="17" width="6.6328125" style="1"/>
    <col min="18" max="22" width="8.08984375" style="1" bestFit="1" customWidth="1"/>
    <col min="23" max="16384" width="6.6328125" style="1"/>
  </cols>
  <sheetData>
    <row r="1" spans="1:27">
      <c r="A1" s="67" t="s">
        <v>149</v>
      </c>
      <c r="B1" s="67"/>
      <c r="C1" s="67"/>
      <c r="D1" s="67"/>
      <c r="E1" s="67"/>
      <c r="F1" s="67"/>
      <c r="G1" s="67"/>
      <c r="H1" s="67"/>
      <c r="I1" s="67"/>
      <c r="J1" s="67"/>
      <c r="K1" s="67"/>
      <c r="L1" s="67"/>
      <c r="M1" s="67"/>
      <c r="N1" s="67"/>
      <c r="O1" s="67"/>
    </row>
    <row r="2" spans="1:27" ht="5.25" customHeight="1" thickBot="1">
      <c r="A2" s="68"/>
    </row>
    <row r="3" spans="1:27" ht="11" thickBot="1">
      <c r="A3" s="3" t="s">
        <v>150</v>
      </c>
      <c r="C3" s="4" t="s">
        <v>29</v>
      </c>
      <c r="E3" s="4" t="s">
        <v>19</v>
      </c>
      <c r="F3" s="4" t="s">
        <v>20</v>
      </c>
      <c r="G3" s="4" t="s">
        <v>21</v>
      </c>
      <c r="H3" s="4" t="s">
        <v>22</v>
      </c>
      <c r="I3" s="4" t="s">
        <v>23</v>
      </c>
      <c r="J3" s="4" t="s">
        <v>24</v>
      </c>
      <c r="K3" s="4" t="s">
        <v>25</v>
      </c>
      <c r="L3" s="4" t="s">
        <v>26</v>
      </c>
      <c r="M3" s="4" t="s">
        <v>27</v>
      </c>
      <c r="N3" s="4" t="s">
        <v>28</v>
      </c>
    </row>
    <row r="4" spans="1:27" ht="11" thickBot="1">
      <c r="A4" s="5" t="s">
        <v>151</v>
      </c>
      <c r="C4" s="61">
        <f>('5. Financials - drinking water'!C$3+'5. Financials - drinking water'!C$4)*1000/Input!$C$4*1.15</f>
        <v>1090.2597402597403</v>
      </c>
      <c r="E4" s="61">
        <f>('5. Financials - drinking water'!E$3+'5. Financials - drinking water'!E$4)*1000/Input!C$45*1.15</f>
        <v>882.04962939091195</v>
      </c>
      <c r="F4" s="61">
        <f>('5. Financials - drinking water'!F$3+'5. Financials - drinking water'!F$4)*1000/Input!D$45*1.15</f>
        <v>1176.2940616068593</v>
      </c>
      <c r="G4" s="61">
        <f>('5. Financials - drinking water'!G$3+'5. Financials - drinking water'!G$4)*1000/Input!E$45*1.15</f>
        <v>1361.9607436141746</v>
      </c>
      <c r="H4" s="61">
        <f>('5. Financials - drinking water'!H$3+'5. Financials - drinking water'!H$4)*1000/Input!F$45*1.15</f>
        <v>1385.9439674554724</v>
      </c>
      <c r="I4" s="61">
        <f>('5. Financials - drinking water'!I$3+'5. Financials - drinking water'!I$4)*1000/Input!G$45*1.15</f>
        <v>1512.3109726734253</v>
      </c>
      <c r="J4" s="61">
        <f>('5. Financials - drinking water'!J$3+'5. Financials - drinking water'!J$4)*1000/Input!H$45*1.15</f>
        <v>1617.4213948203908</v>
      </c>
      <c r="K4" s="61">
        <f>('5. Financials - drinking water'!K$3+'5. Financials - drinking water'!K$4)*1000/Input!I$45*1.15</f>
        <v>1752.0394578242378</v>
      </c>
      <c r="L4" s="61">
        <f>('5. Financials - drinking water'!L$3+'5. Financials - drinking water'!L$4)*1000/Input!J$45*1.15</f>
        <v>1772.1995079128199</v>
      </c>
      <c r="M4" s="61">
        <f>('5. Financials - drinking water'!M$3+'5. Financials - drinking water'!M$4)*1000/Input!K$45*1.15</f>
        <v>1823.6889868996793</v>
      </c>
      <c r="N4" s="61">
        <f>('5. Financials - drinking water'!N$3+'5. Financials - drinking water'!N$4)*1000/Input!L$45*1.15</f>
        <v>1848.2957659876356</v>
      </c>
      <c r="R4" s="69"/>
      <c r="S4" s="69"/>
      <c r="T4" s="69"/>
      <c r="U4" s="69"/>
      <c r="V4" s="69"/>
      <c r="W4" s="69"/>
      <c r="X4" s="69"/>
      <c r="Y4" s="69"/>
      <c r="Z4" s="69"/>
      <c r="AA4" s="69"/>
    </row>
    <row r="5" spans="1:27" ht="11" thickBot="1">
      <c r="A5" s="5" t="s">
        <v>152</v>
      </c>
      <c r="C5" s="61">
        <f>('6. Financials - wastewater'!C$3+'6. Financials - wastewater'!C$4)*1000/Input!$D$4*1.15</f>
        <v>1145.4349983460138</v>
      </c>
      <c r="E5" s="61">
        <f>('6. Financials - wastewater'!E$3+'6. Financials - wastewater'!E$4)*1000/Input!C$46*1.15</f>
        <v>1280.2100426649163</v>
      </c>
      <c r="F5" s="61">
        <f>('6. Financials - wastewater'!F$3+'6. Financials - wastewater'!F$4)*1000/Input!D$46*1.15</f>
        <v>1528.0109783661608</v>
      </c>
      <c r="G5" s="61">
        <f>('6. Financials - wastewater'!G$3+'6. Financials - wastewater'!G$4)*1000/Input!E$46*1.15</f>
        <v>1699.6612046561959</v>
      </c>
      <c r="H5" s="61">
        <f>('6. Financials - wastewater'!H$3+'6. Financials - wastewater'!H$4)*1000/Input!F$46*1.15</f>
        <v>1991.8021371812927</v>
      </c>
      <c r="I5" s="61">
        <f>('6. Financials - wastewater'!I$3+'6. Financials - wastewater'!I$4)*1000/Input!G$46*1.15</f>
        <v>2047.6093235680773</v>
      </c>
      <c r="J5" s="61">
        <f>('6. Financials - wastewater'!J$3+'6. Financials - wastewater'!J$4)*1000/Input!H$46*1.15</f>
        <v>2147.8198407114237</v>
      </c>
      <c r="K5" s="61">
        <f>('6. Financials - wastewater'!K$3+'6. Financials - wastewater'!K$4)*1000/Input!I$46*1.15</f>
        <v>2181.0289261378339</v>
      </c>
      <c r="L5" s="61">
        <f>('6. Financials - wastewater'!L$3+'6. Financials - wastewater'!L$4)*1000/Input!J$46*1.15</f>
        <v>2167.5780411585661</v>
      </c>
      <c r="M5" s="61">
        <f>('6. Financials - wastewater'!M$3+'6. Financials - wastewater'!M$4)*1000/Input!K$46*1.15</f>
        <v>2155.5749123254009</v>
      </c>
      <c r="N5" s="61">
        <f>('6. Financials - wastewater'!N$3+'6. Financials - wastewater'!N$4)*1000/Input!L$46*1.15</f>
        <v>2132.5101641637598</v>
      </c>
      <c r="R5" s="69"/>
      <c r="S5" s="69"/>
      <c r="T5" s="69"/>
      <c r="U5" s="69"/>
      <c r="V5" s="69"/>
      <c r="W5" s="69"/>
      <c r="X5" s="69"/>
      <c r="Y5" s="69"/>
      <c r="Z5" s="69"/>
      <c r="AA5" s="69"/>
    </row>
    <row r="6" spans="1:27" ht="11" thickBot="1">
      <c r="A6" s="5" t="s">
        <v>153</v>
      </c>
      <c r="C6" s="61">
        <f>('7. Financials - stormwater'!C$3+'7. Financials - stormwater'!C$4)*1000/Input!$E$4*1.15</f>
        <v>124.92141110723017</v>
      </c>
      <c r="E6" s="61">
        <f>('7. Financials - stormwater'!E$3+'7. Financials - stormwater'!E$4)*1000/Input!C$47*1.15</f>
        <v>127.77777777777777</v>
      </c>
      <c r="F6" s="61">
        <f>('7. Financials - stormwater'!F$3+'7. Financials - stormwater'!F$4)*1000/Input!D$47*1.15</f>
        <v>154.01434916296549</v>
      </c>
      <c r="G6" s="61">
        <f>('7. Financials - stormwater'!G$3+'7. Financials - stormwater'!G$4)*1000/Input!E$47*1.15</f>
        <v>175.2518155424743</v>
      </c>
      <c r="H6" s="61">
        <f>('7. Financials - stormwater'!H$3+'7. Financials - stormwater'!H$4)*1000/Input!F$47*1.15</f>
        <v>107.02456451312649</v>
      </c>
      <c r="I6" s="61">
        <f>('7. Financials - stormwater'!I$3+'7. Financials - stormwater'!I$4)*1000/Input!G$47*1.15</f>
        <v>114.59972745917446</v>
      </c>
      <c r="J6" s="61">
        <f>('7. Financials - stormwater'!J$3+'7. Financials - stormwater'!J$4)*1000/Input!H$47*1.15</f>
        <v>107.16467710675595</v>
      </c>
      <c r="K6" s="61">
        <f>('7. Financials - stormwater'!K$3+'7. Financials - stormwater'!K$4)*1000/Input!I$47*1.15</f>
        <v>117.00462782473791</v>
      </c>
      <c r="L6" s="61">
        <f>('7. Financials - stormwater'!L$3+'7. Financials - stormwater'!L$4)*1000/Input!J$47*1.15</f>
        <v>124.9650146350633</v>
      </c>
      <c r="M6" s="61">
        <f>('7. Financials - stormwater'!M$3+'7. Financials - stormwater'!M$4)*1000/Input!K$47*1.15</f>
        <v>133.52343884116013</v>
      </c>
      <c r="N6" s="61">
        <f>('7. Financials - stormwater'!N$3+'7. Financials - stormwater'!N$4)*1000/Input!L$47*1.15</f>
        <v>141.47053048908961</v>
      </c>
      <c r="R6" s="69"/>
      <c r="S6" s="69"/>
      <c r="T6" s="69"/>
      <c r="U6" s="69"/>
      <c r="V6" s="69"/>
      <c r="W6" s="69"/>
      <c r="X6" s="69"/>
      <c r="Y6" s="69"/>
      <c r="Z6" s="69"/>
      <c r="AA6" s="69"/>
    </row>
    <row r="7" spans="1:27" ht="11" thickBot="1">
      <c r="A7" s="11" t="s">
        <v>150</v>
      </c>
      <c r="C7" s="70">
        <f>SUM(C4:C6)</f>
        <v>2360.6161497129842</v>
      </c>
      <c r="E7" s="70">
        <f t="shared" ref="E7:N7" si="0">SUM(E4:E6)</f>
        <v>2290.0374498336059</v>
      </c>
      <c r="F7" s="70">
        <f t="shared" si="0"/>
        <v>2858.3193891359856</v>
      </c>
      <c r="G7" s="70">
        <f t="shared" si="0"/>
        <v>3236.8737638128446</v>
      </c>
      <c r="H7" s="70">
        <f t="shared" si="0"/>
        <v>3484.7706691498915</v>
      </c>
      <c r="I7" s="70">
        <f t="shared" si="0"/>
        <v>3674.5200237006775</v>
      </c>
      <c r="J7" s="70">
        <f t="shared" si="0"/>
        <v>3872.4059126385705</v>
      </c>
      <c r="K7" s="70">
        <f t="shared" si="0"/>
        <v>4050.0730117868093</v>
      </c>
      <c r="L7" s="70">
        <f t="shared" si="0"/>
        <v>4064.7425637064489</v>
      </c>
      <c r="M7" s="70">
        <f t="shared" si="0"/>
        <v>4112.7873380662404</v>
      </c>
      <c r="N7" s="70">
        <f t="shared" si="0"/>
        <v>4122.2764606404853</v>
      </c>
    </row>
    <row r="8" spans="1:27" ht="11" thickBot="1">
      <c r="A8" s="5" t="s">
        <v>154</v>
      </c>
      <c r="C8" s="61"/>
      <c r="E8" s="71">
        <f>(E7-C7)/C7</f>
        <v>-2.9898422870638926E-2</v>
      </c>
      <c r="F8" s="71">
        <f t="shared" ref="F8:N8" si="1">(F7-E7)/E7</f>
        <v>0.24815399387624471</v>
      </c>
      <c r="G8" s="71">
        <f t="shared" si="1"/>
        <v>0.13243949438109806</v>
      </c>
      <c r="H8" s="71">
        <f t="shared" si="1"/>
        <v>7.658528673822583E-2</v>
      </c>
      <c r="I8" s="71">
        <f t="shared" si="1"/>
        <v>5.4451030660526999E-2</v>
      </c>
      <c r="J8" s="71">
        <f t="shared" si="1"/>
        <v>5.3853533974921292E-2</v>
      </c>
      <c r="K8" s="71">
        <f t="shared" si="1"/>
        <v>4.5880288161005416E-2</v>
      </c>
      <c r="L8" s="71">
        <f t="shared" si="1"/>
        <v>3.6220462882884451E-3</v>
      </c>
      <c r="M8" s="71">
        <f t="shared" si="1"/>
        <v>1.1819881236459348E-2</v>
      </c>
      <c r="N8" s="71">
        <f t="shared" si="1"/>
        <v>2.3072242239265692E-3</v>
      </c>
      <c r="O8" s="71">
        <f>(N7-C7)/C7</f>
        <v>0.74627139661892627</v>
      </c>
    </row>
    <row r="9" spans="1:27" ht="5.25" customHeight="1" thickBot="1">
      <c r="A9" s="72"/>
    </row>
    <row r="10" spans="1:27" ht="11" thickBot="1">
      <c r="A10" s="5" t="s">
        <v>155</v>
      </c>
      <c r="C10" s="61">
        <f>Input!$F$4</f>
        <v>2988.6666666666665</v>
      </c>
      <c r="E10" s="61">
        <f>AVERAGE(Input!C45:C47)</f>
        <v>3010</v>
      </c>
      <c r="F10" s="61">
        <f>AVERAGE(Input!D45:D47)</f>
        <v>3057.6666666666665</v>
      </c>
      <c r="G10" s="61">
        <f>AVERAGE(Input!E45:E47)</f>
        <v>3100.9772499999995</v>
      </c>
      <c r="H10" s="61">
        <f>AVERAGE(Input!F45:F47)</f>
        <v>3147.4919087499998</v>
      </c>
      <c r="I10" s="61">
        <f>AVERAGE(Input!G45:G47)</f>
        <v>3194.7042873812484</v>
      </c>
      <c r="J10" s="61">
        <f>AVERAGE(Input!H45:H47)</f>
        <v>3242.6248516919673</v>
      </c>
      <c r="K10" s="61">
        <f>AVERAGE(Input!I45:I47)</f>
        <v>3291.2642244673461</v>
      </c>
      <c r="L10" s="61">
        <f>AVERAGE(Input!J45:J47)</f>
        <v>3340.6331878343558</v>
      </c>
      <c r="M10" s="61">
        <f>AVERAGE(Input!K45:K47)</f>
        <v>3390.7426856518709</v>
      </c>
      <c r="N10" s="61">
        <f>AVERAGE(Input!L45:L47)</f>
        <v>3441.6038259366487</v>
      </c>
    </row>
    <row r="11" spans="1:27" ht="5.25" customHeight="1" thickBot="1">
      <c r="A11" s="72"/>
    </row>
    <row r="12" spans="1:27" ht="11" thickBot="1">
      <c r="A12" s="5" t="s">
        <v>156</v>
      </c>
      <c r="C12" s="61">
        <f>Input!$O$50</f>
        <v>84242.9</v>
      </c>
      <c r="E12" s="61">
        <f>Input!C$50</f>
        <v>87612.615999999995</v>
      </c>
      <c r="F12" s="61">
        <f>Input!D$50</f>
        <v>90503.83232799999</v>
      </c>
      <c r="G12" s="61">
        <f>Input!E$50</f>
        <v>93671.466459479983</v>
      </c>
      <c r="H12" s="61">
        <f>Input!F$50</f>
        <v>96949.967785561777</v>
      </c>
      <c r="I12" s="61">
        <f>Input!G$50</f>
        <v>100343.21665805644</v>
      </c>
      <c r="J12" s="61">
        <f>Input!H$50</f>
        <v>103754.88602443037</v>
      </c>
      <c r="K12" s="61">
        <f>Input!I$50</f>
        <v>107282.552149261</v>
      </c>
      <c r="L12" s="61">
        <f>Input!J$50</f>
        <v>110930.15892233588</v>
      </c>
      <c r="M12" s="61">
        <f>Input!K$50</f>
        <v>114701.78432569529</v>
      </c>
      <c r="N12" s="61">
        <f>Input!L$50</f>
        <v>118601.64499276894</v>
      </c>
    </row>
    <row r="13" spans="1:27" ht="11" thickBot="1">
      <c r="A13" s="11" t="s">
        <v>157</v>
      </c>
      <c r="C13" s="73">
        <f>C7/C12</f>
        <v>2.8021544245425838E-2</v>
      </c>
      <c r="E13" s="73">
        <f t="shared" ref="E13:N13" si="2">E7/E12</f>
        <v>2.6138215640469017E-2</v>
      </c>
      <c r="F13" s="73">
        <f t="shared" si="2"/>
        <v>3.1582302269554628E-2</v>
      </c>
      <c r="G13" s="73">
        <f t="shared" si="2"/>
        <v>3.4555600399541496E-2</v>
      </c>
      <c r="H13" s="73">
        <f t="shared" si="2"/>
        <v>3.594401059376999E-2</v>
      </c>
      <c r="I13" s="73">
        <f t="shared" si="2"/>
        <v>3.661951595813881E-2</v>
      </c>
      <c r="J13" s="73">
        <f t="shared" si="2"/>
        <v>3.7322636658545072E-2</v>
      </c>
      <c r="K13" s="73">
        <f t="shared" si="2"/>
        <v>3.7751460332077005E-2</v>
      </c>
      <c r="L13" s="73">
        <f t="shared" si="2"/>
        <v>3.6642357706818444E-2</v>
      </c>
      <c r="M13" s="73">
        <f t="shared" si="2"/>
        <v>3.5856350119087915E-2</v>
      </c>
      <c r="N13" s="73">
        <f t="shared" si="2"/>
        <v>3.4757329553833906E-2</v>
      </c>
    </row>
    <row r="14" spans="1:27" ht="5.25" customHeight="1" thickBot="1">
      <c r="A14" s="72"/>
    </row>
    <row r="15" spans="1:27" ht="11" thickBot="1">
      <c r="A15" s="3" t="s">
        <v>158</v>
      </c>
      <c r="C15" s="4" t="s">
        <v>29</v>
      </c>
      <c r="E15" s="4" t="s">
        <v>19</v>
      </c>
      <c r="F15" s="4" t="s">
        <v>20</v>
      </c>
      <c r="G15" s="4" t="s">
        <v>21</v>
      </c>
      <c r="H15" s="4" t="s">
        <v>22</v>
      </c>
      <c r="I15" s="4" t="s">
        <v>23</v>
      </c>
      <c r="J15" s="4" t="s">
        <v>24</v>
      </c>
      <c r="K15" s="4" t="s">
        <v>25</v>
      </c>
      <c r="L15" s="4" t="s">
        <v>26</v>
      </c>
      <c r="M15" s="4" t="s">
        <v>27</v>
      </c>
      <c r="N15" s="4" t="s">
        <v>28</v>
      </c>
      <c r="O15" s="4" t="s">
        <v>159</v>
      </c>
    </row>
    <row r="16" spans="1:27" ht="11" thickBot="1">
      <c r="A16" s="5" t="s">
        <v>160</v>
      </c>
      <c r="C16" s="61">
        <f>('4. Financials - water services'!C$3+'4. Financials - water services'!C$4)</f>
        <v>6242</v>
      </c>
      <c r="E16" s="61">
        <f>('4. Financials - water services'!E$3+'4. Financials - water services'!E$4)</f>
        <v>6092</v>
      </c>
      <c r="F16" s="61">
        <f>('4. Financials - water services'!F$3+'4. Financials - water services'!F$4)</f>
        <v>7728</v>
      </c>
      <c r="G16" s="61">
        <f>('4. Financials - water services'!G$3+'4. Financials - water services'!G$4)</f>
        <v>8879</v>
      </c>
      <c r="H16" s="61">
        <f>('4. Financials - water services'!H$3+'4. Financials - water services'!H$4)</f>
        <v>9710.9157012504511</v>
      </c>
      <c r="I16" s="61">
        <f>('4. Financials - water services'!I$3+'4. Financials - water services'!I$4)</f>
        <v>10395.591545798281</v>
      </c>
      <c r="J16" s="61">
        <f>('4. Financials - water services'!J$3+'4. Financials - water services'!J$4)</f>
        <v>11123.135858249638</v>
      </c>
      <c r="K16" s="61">
        <f>('4. Financials - water services'!K$3+'4. Financials - water services'!K$4)</f>
        <v>11810.338625423343</v>
      </c>
      <c r="L16" s="61">
        <f>('4. Financials - water services'!L$3+'4. Financials - water services'!L$4)</f>
        <v>12030.41699699237</v>
      </c>
      <c r="M16" s="61">
        <f>('4. Financials - water services'!M$3+'4. Financials - water services'!M$4)</f>
        <v>12355.677526317335</v>
      </c>
      <c r="N16" s="61">
        <f>('4. Financials - water services'!N$3+'4. Financials - water services'!N$4)</f>
        <v>12569.779545789024</v>
      </c>
      <c r="O16" s="74">
        <f>SUM(E16:N16)</f>
        <v>102694.85579982045</v>
      </c>
    </row>
    <row r="17" spans="1:15" ht="11" thickBot="1">
      <c r="A17" s="11" t="s">
        <v>154</v>
      </c>
      <c r="C17" s="75"/>
      <c r="E17" s="73">
        <f>(E16-C16)/C16</f>
        <v>-2.4030759371996155E-2</v>
      </c>
      <c r="F17" s="73">
        <f t="shared" ref="F17:N17" si="3">(F16-E16)/E16</f>
        <v>0.26854891661195007</v>
      </c>
      <c r="G17" s="73">
        <f t="shared" si="3"/>
        <v>0.14893892339544512</v>
      </c>
      <c r="H17" s="73">
        <f t="shared" si="3"/>
        <v>9.369475180205554E-2</v>
      </c>
      <c r="I17" s="73">
        <f t="shared" si="3"/>
        <v>7.0505796323581088E-2</v>
      </c>
      <c r="J17" s="73">
        <f t="shared" si="3"/>
        <v>6.9985850179484749E-2</v>
      </c>
      <c r="K17" s="73">
        <f t="shared" si="3"/>
        <v>6.1781387544954873E-2</v>
      </c>
      <c r="L17" s="73">
        <f t="shared" si="3"/>
        <v>1.8634382852941955E-2</v>
      </c>
      <c r="M17" s="73">
        <f t="shared" si="3"/>
        <v>2.7036513315064736E-2</v>
      </c>
      <c r="N17" s="73">
        <f t="shared" si="3"/>
        <v>1.7328229796840885E-2</v>
      </c>
      <c r="O17" s="73"/>
    </row>
    <row r="18" spans="1:15" ht="5.25" customHeight="1" thickBot="1">
      <c r="A18" s="72"/>
    </row>
    <row r="19" spans="1:15" ht="11" thickBot="1">
      <c r="A19" s="3" t="s">
        <v>161</v>
      </c>
      <c r="C19" s="4" t="s">
        <v>29</v>
      </c>
      <c r="E19" s="4" t="s">
        <v>19</v>
      </c>
      <c r="F19" s="4" t="s">
        <v>20</v>
      </c>
      <c r="G19" s="4" t="s">
        <v>21</v>
      </c>
      <c r="H19" s="4" t="s">
        <v>22</v>
      </c>
      <c r="I19" s="4" t="s">
        <v>23</v>
      </c>
      <c r="J19" s="4" t="s">
        <v>24</v>
      </c>
      <c r="K19" s="4" t="s">
        <v>25</v>
      </c>
      <c r="L19" s="4" t="s">
        <v>26</v>
      </c>
      <c r="M19" s="4" t="s">
        <v>27</v>
      </c>
      <c r="N19" s="4" t="s">
        <v>28</v>
      </c>
      <c r="O19" s="4" t="s">
        <v>159</v>
      </c>
    </row>
    <row r="20" spans="1:15" ht="11" thickBot="1">
      <c r="A20" s="5" t="s">
        <v>162</v>
      </c>
      <c r="C20" s="61">
        <f>'4. Financials - water services'!C$50-'4. Financials - water services'!C$41</f>
        <v>-921</v>
      </c>
      <c r="E20" s="61">
        <f>'4. Financials - water services'!E$50-'4. Financials - water services'!E$41</f>
        <v>-69.943000000000211</v>
      </c>
      <c r="F20" s="61">
        <f>'4. Financials - water services'!F$50-'4. Financials - water services'!F$41</f>
        <v>820</v>
      </c>
      <c r="G20" s="61">
        <f>'4. Financials - water services'!G$50-'4. Financials - water services'!G$41</f>
        <v>1208</v>
      </c>
      <c r="H20" s="61">
        <f>'4. Financials - water services'!H$50-'4. Financials - water services'!H$41</f>
        <v>748.79499959108216</v>
      </c>
      <c r="I20" s="61">
        <f>'4. Financials - water services'!I$50-'4. Financials - water services'!I$41</f>
        <v>789.30302963338909</v>
      </c>
      <c r="J20" s="61">
        <f>'4. Financials - water services'!J$50-'4. Financials - water services'!J$41</f>
        <v>1123.5279881555889</v>
      </c>
      <c r="K20" s="61">
        <f>'4. Financials - water services'!K$50-'4. Financials - water services'!K$41</f>
        <v>1408.4685813640153</v>
      </c>
      <c r="L20" s="61">
        <f>'4. Financials - water services'!L$50-'4. Financials - water services'!L$41</f>
        <v>1242.1462710507858</v>
      </c>
      <c r="M20" s="61">
        <f>'4. Financials - water services'!M$50-'4. Financials - water services'!M$41</f>
        <v>1393.3534431821972</v>
      </c>
      <c r="N20" s="61">
        <f>'4. Financials - water services'!N$50-'4. Financials - water services'!N$41</f>
        <v>1472.7271305471404</v>
      </c>
      <c r="O20" s="74">
        <f>SUM(E20:N20)</f>
        <v>10136.378443524198</v>
      </c>
    </row>
    <row r="21" spans="1:15" ht="11" thickBot="1">
      <c r="A21" s="5" t="s">
        <v>163</v>
      </c>
      <c r="C21" s="61">
        <f>'4. Financials - water services'!C$40</f>
        <v>6727</v>
      </c>
      <c r="E21" s="61">
        <f>'4. Financials - water services'!E$40</f>
        <v>6880</v>
      </c>
      <c r="F21" s="61">
        <f>'4. Financials - water services'!F$40</f>
        <v>8304</v>
      </c>
      <c r="G21" s="61">
        <f>'4. Financials - water services'!G$40</f>
        <v>9474</v>
      </c>
      <c r="H21" s="61">
        <f>'4. Financials - water services'!H$40</f>
        <v>10322.915701250451</v>
      </c>
      <c r="I21" s="61">
        <f>'4. Financials - water services'!I$40</f>
        <v>11024.591545798281</v>
      </c>
      <c r="J21" s="61">
        <f>'4. Financials - water services'!J$40</f>
        <v>11768.135858249638</v>
      </c>
      <c r="K21" s="61">
        <f>'4. Financials - water services'!K$40</f>
        <v>12472.338625423343</v>
      </c>
      <c r="L21" s="61">
        <f>'4. Financials - water services'!L$40</f>
        <v>12708.41699699237</v>
      </c>
      <c r="M21" s="61">
        <f>'4. Financials - water services'!M$40</f>
        <v>13050.677526317335</v>
      </c>
      <c r="N21" s="61">
        <f>'4. Financials - water services'!N$40</f>
        <v>13279.779545789024</v>
      </c>
      <c r="O21" s="74">
        <f>SUM(E21:N21)</f>
        <v>109284.85579982045</v>
      </c>
    </row>
    <row r="22" spans="1:15" ht="11" thickBot="1">
      <c r="A22" s="11" t="s">
        <v>161</v>
      </c>
      <c r="C22" s="73">
        <f>C20/C21</f>
        <v>-0.13691095584956148</v>
      </c>
      <c r="E22" s="73">
        <f t="shared" ref="E22:O22" si="4">E20/E21</f>
        <v>-1.0166133720930262E-2</v>
      </c>
      <c r="F22" s="73">
        <f t="shared" si="4"/>
        <v>9.8747591522157993E-2</v>
      </c>
      <c r="G22" s="73">
        <f t="shared" si="4"/>
        <v>0.12750686088241503</v>
      </c>
      <c r="H22" s="73">
        <f t="shared" si="4"/>
        <v>7.2537161133688036E-2</v>
      </c>
      <c r="I22" s="73">
        <f t="shared" si="4"/>
        <v>7.1594763974200046E-2</v>
      </c>
      <c r="J22" s="73">
        <f t="shared" si="4"/>
        <v>9.5472044314306517E-2</v>
      </c>
      <c r="K22" s="73">
        <f t="shared" si="4"/>
        <v>0.11292738464404933</v>
      </c>
      <c r="L22" s="73">
        <f t="shared" si="4"/>
        <v>9.7742013922328619E-2</v>
      </c>
      <c r="M22" s="73">
        <f t="shared" si="4"/>
        <v>0.10676483580047329</v>
      </c>
      <c r="N22" s="73">
        <f t="shared" si="4"/>
        <v>0.11089996829157736</v>
      </c>
      <c r="O22" s="73">
        <f t="shared" si="4"/>
        <v>9.2751903905983396E-2</v>
      </c>
    </row>
    <row r="23" spans="1:15" ht="5.25" customHeight="1" thickBot="1">
      <c r="A23" s="72"/>
    </row>
    <row r="24" spans="1:15" ht="11" thickBot="1">
      <c r="A24" s="3" t="s">
        <v>164</v>
      </c>
      <c r="C24" s="4" t="s">
        <v>29</v>
      </c>
      <c r="E24" s="4" t="s">
        <v>19</v>
      </c>
      <c r="F24" s="4" t="s">
        <v>20</v>
      </c>
      <c r="G24" s="4" t="s">
        <v>21</v>
      </c>
      <c r="H24" s="4" t="s">
        <v>22</v>
      </c>
      <c r="I24" s="4" t="s">
        <v>23</v>
      </c>
      <c r="J24" s="4" t="s">
        <v>24</v>
      </c>
      <c r="K24" s="4" t="s">
        <v>25</v>
      </c>
      <c r="L24" s="4" t="s">
        <v>26</v>
      </c>
      <c r="M24" s="4" t="s">
        <v>27</v>
      </c>
      <c r="N24" s="4" t="s">
        <v>28</v>
      </c>
      <c r="O24" s="4" t="s">
        <v>159</v>
      </c>
    </row>
    <row r="25" spans="1:15" ht="11" thickBot="1">
      <c r="A25" s="5" t="s">
        <v>165</v>
      </c>
      <c r="C25" s="61">
        <f>'4. Financials - water services'!C$50+'4. Financials - water services'!C$47+'4. Financials - water services'!C$45-'4. Financials - water services'!C$41</f>
        <v>2175</v>
      </c>
      <c r="E25" s="61">
        <f>'4. Financials - water services'!E$50+'4. Financials - water services'!E$47+'4. Financials - water services'!E$45-'4. Financials - water services'!E$41</f>
        <v>2980</v>
      </c>
      <c r="F25" s="61">
        <f>'4. Financials - water services'!F$50+'4. Financials - water services'!F$47+'4. Financials - water services'!F$45-'4. Financials - water services'!F$41</f>
        <v>4215</v>
      </c>
      <c r="G25" s="61">
        <f>'4. Financials - water services'!G$50+'4. Financials - water services'!G$47+'4. Financials - water services'!G$45-'4. Financials - water services'!G$41</f>
        <v>5197</v>
      </c>
      <c r="H25" s="61">
        <f>'4. Financials - water services'!H$50+'4. Financials - water services'!H$47+'4. Financials - water services'!H$45-'4. Financials - water services'!H$41</f>
        <v>5762.4093005738659</v>
      </c>
      <c r="I25" s="61">
        <f>'4. Financials - water services'!I$50+'4. Financials - water services'!I$47+'4. Financials - water services'!I$45-'4. Financials - water services'!I$41</f>
        <v>6333.1474851047806</v>
      </c>
      <c r="J25" s="61">
        <f>'4. Financials - water services'!J$50+'4. Financials - water services'!J$47+'4. Financials - water services'!J$45-'4. Financials - water services'!J$41</f>
        <v>6956.4533266040007</v>
      </c>
      <c r="K25" s="61">
        <f>'4. Financials - water services'!K$50+'4. Financials - water services'!K$47+'4. Financials - water services'!K$45-'4. Financials - water services'!K$41</f>
        <v>7510.4745602782696</v>
      </c>
      <c r="L25" s="61">
        <f>'4. Financials - water services'!L$50+'4. Financials - water services'!L$47+'4. Financials - water services'!L$45-'4. Financials - water services'!L$41</f>
        <v>7751.9092662063777</v>
      </c>
      <c r="M25" s="61">
        <f>'4. Financials - water services'!M$50+'4. Financials - water services'!M$47+'4. Financials - water services'!M$45-'4. Financials - water services'!M$41</f>
        <v>7983.6523142967126</v>
      </c>
      <c r="N25" s="61">
        <f>'4. Financials - water services'!N$50+'4. Financials - water services'!N$47+'4. Financials - water services'!N$45-'4. Financials - water services'!N$41</f>
        <v>8123.6553253175916</v>
      </c>
      <c r="O25" s="74">
        <f>SUM(E25:N25)</f>
        <v>62813.701578381602</v>
      </c>
    </row>
    <row r="26" spans="1:15" ht="11" thickBot="1">
      <c r="A26" s="5" t="s">
        <v>163</v>
      </c>
      <c r="C26" s="61">
        <f>'4. Financials - water services'!C$40</f>
        <v>6727</v>
      </c>
      <c r="E26" s="61">
        <f>'4. Financials - water services'!E$40</f>
        <v>6880</v>
      </c>
      <c r="F26" s="61">
        <f>'4. Financials - water services'!F$40</f>
        <v>8304</v>
      </c>
      <c r="G26" s="61">
        <f>'4. Financials - water services'!G$40</f>
        <v>9474</v>
      </c>
      <c r="H26" s="61">
        <f>'4. Financials - water services'!H$40</f>
        <v>10322.915701250451</v>
      </c>
      <c r="I26" s="61">
        <f>'4. Financials - water services'!I$40</f>
        <v>11024.591545798281</v>
      </c>
      <c r="J26" s="61">
        <f>'4. Financials - water services'!J$40</f>
        <v>11768.135858249638</v>
      </c>
      <c r="K26" s="61">
        <f>'4. Financials - water services'!K$40</f>
        <v>12472.338625423343</v>
      </c>
      <c r="L26" s="61">
        <f>'4. Financials - water services'!L$40</f>
        <v>12708.41699699237</v>
      </c>
      <c r="M26" s="61">
        <f>'4. Financials - water services'!M$40</f>
        <v>13050.677526317335</v>
      </c>
      <c r="N26" s="61">
        <f>'4. Financials - water services'!N$40</f>
        <v>13279.779545789024</v>
      </c>
      <c r="O26" s="74">
        <f>SUM(E26:N26)</f>
        <v>109284.85579982045</v>
      </c>
    </row>
    <row r="27" spans="1:15" ht="11" thickBot="1">
      <c r="A27" s="11" t="s">
        <v>164</v>
      </c>
      <c r="C27" s="73">
        <f>C25/C26</f>
        <v>0.32332391853723802</v>
      </c>
      <c r="E27" s="73">
        <f t="shared" ref="E27:O27" si="5">E25/E26</f>
        <v>0.43313953488372092</v>
      </c>
      <c r="F27" s="73">
        <f t="shared" si="5"/>
        <v>0.50758670520231219</v>
      </c>
      <c r="G27" s="73">
        <f t="shared" si="5"/>
        <v>0.54855393709098588</v>
      </c>
      <c r="H27" s="73">
        <f t="shared" si="5"/>
        <v>0.5582152821296259</v>
      </c>
      <c r="I27" s="73">
        <f t="shared" si="5"/>
        <v>0.57445642850310263</v>
      </c>
      <c r="J27" s="73">
        <f t="shared" si="5"/>
        <v>0.59112619113140363</v>
      </c>
      <c r="K27" s="73">
        <f t="shared" si="5"/>
        <v>0.60217051395390131</v>
      </c>
      <c r="L27" s="73">
        <f t="shared" si="5"/>
        <v>0.60998228717557657</v>
      </c>
      <c r="M27" s="73">
        <f t="shared" si="5"/>
        <v>0.61174236342881694</v>
      </c>
      <c r="N27" s="73">
        <f t="shared" si="5"/>
        <v>0.61173118855678421</v>
      </c>
      <c r="O27" s="73">
        <f t="shared" si="5"/>
        <v>0.57477041186236166</v>
      </c>
    </row>
    <row r="28" spans="1:15">
      <c r="A28" s="76"/>
    </row>
    <row r="30" spans="1:15">
      <c r="A30" s="67" t="s">
        <v>166</v>
      </c>
      <c r="B30" s="67"/>
      <c r="C30" s="67"/>
      <c r="D30" s="67"/>
      <c r="E30" s="67"/>
      <c r="F30" s="67"/>
      <c r="G30" s="67"/>
      <c r="H30" s="67"/>
      <c r="I30" s="67"/>
      <c r="J30" s="67"/>
      <c r="K30" s="67"/>
      <c r="L30" s="67"/>
      <c r="M30" s="67"/>
      <c r="N30" s="67"/>
      <c r="O30" s="67"/>
    </row>
    <row r="31" spans="1:15" ht="5.25" customHeight="1" thickBot="1">
      <c r="O31" s="77"/>
    </row>
    <row r="32" spans="1:15" ht="11" thickBot="1">
      <c r="A32" s="3" t="s">
        <v>167</v>
      </c>
      <c r="C32" s="4" t="s">
        <v>29</v>
      </c>
      <c r="E32" s="4" t="s">
        <v>19</v>
      </c>
      <c r="F32" s="4" t="s">
        <v>20</v>
      </c>
      <c r="G32" s="4" t="s">
        <v>21</v>
      </c>
      <c r="H32" s="4" t="s">
        <v>22</v>
      </c>
      <c r="I32" s="4" t="s">
        <v>23</v>
      </c>
      <c r="J32" s="4" t="s">
        <v>24</v>
      </c>
      <c r="K32" s="4" t="s">
        <v>25</v>
      </c>
      <c r="L32" s="4" t="s">
        <v>26</v>
      </c>
      <c r="M32" s="4" t="s">
        <v>27</v>
      </c>
      <c r="N32" s="4" t="s">
        <v>28</v>
      </c>
      <c r="O32" s="4" t="s">
        <v>159</v>
      </c>
    </row>
    <row r="33" spans="1:15" ht="11" thickBot="1">
      <c r="A33" s="5" t="s">
        <v>168</v>
      </c>
      <c r="C33" s="61">
        <f>'4. Financials - water services'!C$30</f>
        <v>4161</v>
      </c>
      <c r="E33" s="61">
        <f>'4. Financials - water services'!E$30</f>
        <v>4595</v>
      </c>
      <c r="F33" s="61">
        <f>'4. Financials - water services'!F$30</f>
        <v>6416</v>
      </c>
      <c r="G33" s="61">
        <f>'4. Financials - water services'!G$30</f>
        <v>6150</v>
      </c>
      <c r="H33" s="61">
        <f>'4. Financials - water services'!H$30</f>
        <v>5630</v>
      </c>
      <c r="I33" s="61">
        <f>'4. Financials - water services'!I$30</f>
        <v>5165</v>
      </c>
      <c r="J33" s="61">
        <f>'4. Financials - water services'!J$30</f>
        <v>5082.1043860272348</v>
      </c>
      <c r="K33" s="61">
        <f>'4. Financials - water services'!K$30</f>
        <v>6123.2681277789616</v>
      </c>
      <c r="L33" s="61">
        <f>'4. Financials - water services'!L$30</f>
        <v>5976.2675630375561</v>
      </c>
      <c r="M33" s="61">
        <f>'4. Financials - water services'!M$30</f>
        <v>6661.4214815059013</v>
      </c>
      <c r="N33" s="61">
        <f>'4. Financials - water services'!N$30</f>
        <v>5906.1395950711194</v>
      </c>
      <c r="O33" s="74">
        <f>SUM(E33:N33)</f>
        <v>57705.20115342077</v>
      </c>
    </row>
    <row r="34" spans="1:15" ht="11" thickBot="1">
      <c r="A34" s="5" t="s">
        <v>169</v>
      </c>
      <c r="C34" s="61">
        <f>'4. Financials - water services'!C$47</f>
        <v>2271</v>
      </c>
      <c r="E34" s="61">
        <f>'4. Financials - water services'!E$47</f>
        <v>2271</v>
      </c>
      <c r="F34" s="61">
        <f>'4. Financials - water services'!F$47</f>
        <v>2395</v>
      </c>
      <c r="G34" s="61">
        <f>'4. Financials - water services'!G$47</f>
        <v>2783</v>
      </c>
      <c r="H34" s="61">
        <f>'4. Financials - water services'!H$47</f>
        <v>2859</v>
      </c>
      <c r="I34" s="61">
        <f>'4. Financials - water services'!I$47</f>
        <v>3155</v>
      </c>
      <c r="J34" s="61">
        <f>'4. Financials - water services'!J$47</f>
        <v>3251</v>
      </c>
      <c r="K34" s="61">
        <f>'4. Financials - water services'!K$47</f>
        <v>3327.8640720720718</v>
      </c>
      <c r="L34" s="61">
        <f>'4. Financials - water services'!L$47</f>
        <v>3596.3958940060061</v>
      </c>
      <c r="M34" s="61">
        <f>'4. Financials - water services'!M$47</f>
        <v>3600.7281237348711</v>
      </c>
      <c r="N34" s="61">
        <f>'4. Financials - water services'!N$47</f>
        <v>3594.6114199412204</v>
      </c>
      <c r="O34" s="74">
        <f>SUM(E34:N34)</f>
        <v>30833.599509754175</v>
      </c>
    </row>
    <row r="35" spans="1:15" ht="11" thickBot="1">
      <c r="A35" s="11" t="s">
        <v>167</v>
      </c>
      <c r="C35" s="73">
        <f>C33/C34-1</f>
        <v>0.83223249669749011</v>
      </c>
      <c r="D35" s="78"/>
      <c r="E35" s="73">
        <f t="shared" ref="E35:O35" si="6">E33/E34-1</f>
        <v>1.0233377366798768</v>
      </c>
      <c r="F35" s="73">
        <f t="shared" si="6"/>
        <v>1.6789144050104383</v>
      </c>
      <c r="G35" s="73">
        <f t="shared" si="6"/>
        <v>1.2098454904779015</v>
      </c>
      <c r="H35" s="73">
        <f t="shared" si="6"/>
        <v>0.96922000699545285</v>
      </c>
      <c r="I35" s="73">
        <f t="shared" si="6"/>
        <v>0.63708399366085589</v>
      </c>
      <c r="J35" s="73">
        <f t="shared" si="6"/>
        <v>0.56324342849192099</v>
      </c>
      <c r="K35" s="73">
        <f t="shared" si="6"/>
        <v>0.8399994696797668</v>
      </c>
      <c r="L35" s="73">
        <f t="shared" si="6"/>
        <v>0.66173795632399735</v>
      </c>
      <c r="M35" s="73">
        <f t="shared" si="6"/>
        <v>0.85002067709469609</v>
      </c>
      <c r="N35" s="73">
        <f t="shared" si="6"/>
        <v>0.64305370041018151</v>
      </c>
      <c r="O35" s="73">
        <f t="shared" si="6"/>
        <v>0.87150388118538658</v>
      </c>
    </row>
    <row r="36" spans="1:15" ht="5.25" customHeight="1" thickBot="1"/>
    <row r="37" spans="1:15" ht="11" thickBot="1">
      <c r="A37" s="3" t="s">
        <v>170</v>
      </c>
      <c r="C37" s="4" t="s">
        <v>29</v>
      </c>
      <c r="E37" s="4" t="s">
        <v>19</v>
      </c>
      <c r="F37" s="4" t="s">
        <v>20</v>
      </c>
      <c r="G37" s="4" t="s">
        <v>21</v>
      </c>
      <c r="H37" s="4" t="s">
        <v>22</v>
      </c>
      <c r="I37" s="4" t="s">
        <v>23</v>
      </c>
      <c r="J37" s="4" t="s">
        <v>24</v>
      </c>
      <c r="K37" s="4" t="s">
        <v>25</v>
      </c>
      <c r="L37" s="4" t="s">
        <v>26</v>
      </c>
      <c r="M37" s="4" t="s">
        <v>27</v>
      </c>
      <c r="N37" s="4" t="s">
        <v>28</v>
      </c>
      <c r="O37" s="4" t="s">
        <v>159</v>
      </c>
    </row>
    <row r="38" spans="1:15" ht="11" thickBot="1">
      <c r="A38" s="5" t="s">
        <v>171</v>
      </c>
      <c r="C38" s="61">
        <f>SUM('4. Financials - water services'!C$28:C$30)</f>
        <v>9884</v>
      </c>
      <c r="E38" s="61">
        <f>SUM('4. Financials - water services'!E$28:E$30)</f>
        <v>5630</v>
      </c>
      <c r="F38" s="61">
        <f>SUM('4. Financials - water services'!F$28:F$30)</f>
        <v>6875</v>
      </c>
      <c r="G38" s="61">
        <f>SUM('4. Financials - water services'!G$28:G$30)</f>
        <v>6515</v>
      </c>
      <c r="H38" s="61">
        <f>SUM('4. Financials - water services'!H$28:H$30)</f>
        <v>6875</v>
      </c>
      <c r="I38" s="61">
        <f>SUM('4. Financials - water services'!I$28:I$30)</f>
        <v>7859</v>
      </c>
      <c r="J38" s="61">
        <f>SUM('4. Financials - water services'!J$28:J$30)</f>
        <v>7533.9413333333332</v>
      </c>
      <c r="K38" s="61">
        <f>SUM('4. Financials - water services'!K$28:K$30)</f>
        <v>8634.3548231111108</v>
      </c>
      <c r="L38" s="61">
        <f>SUM('4. Financials - water services'!L$28:L$30)</f>
        <v>6142.5849999359998</v>
      </c>
      <c r="M38" s="61">
        <f>SUM('4. Financials - water services'!M$28:M$30)</f>
        <v>6833.3639192698884</v>
      </c>
      <c r="N38" s="61">
        <f>SUM('4. Financials - water services'!N$28:N$30)</f>
        <v>6085.6698072379877</v>
      </c>
      <c r="O38" s="74">
        <f>SUM(E38:N38)</f>
        <v>68983.914882888319</v>
      </c>
    </row>
    <row r="39" spans="1:15" ht="11" thickBot="1">
      <c r="A39" s="5" t="s">
        <v>169</v>
      </c>
      <c r="C39" s="61">
        <f>'4. Financials - water services'!C$47</f>
        <v>2271</v>
      </c>
      <c r="E39" s="61">
        <f>'4. Financials - water services'!E$47</f>
        <v>2271</v>
      </c>
      <c r="F39" s="61">
        <f>'4. Financials - water services'!F$47</f>
        <v>2395</v>
      </c>
      <c r="G39" s="61">
        <f>'4. Financials - water services'!G$47</f>
        <v>2783</v>
      </c>
      <c r="H39" s="61">
        <f>'4. Financials - water services'!H$47</f>
        <v>2859</v>
      </c>
      <c r="I39" s="61">
        <f>'4. Financials - water services'!I$47</f>
        <v>3155</v>
      </c>
      <c r="J39" s="61">
        <f>'4. Financials - water services'!J$47</f>
        <v>3251</v>
      </c>
      <c r="K39" s="61">
        <f>'4. Financials - water services'!K$47</f>
        <v>3327.8640720720718</v>
      </c>
      <c r="L39" s="61">
        <f>'4. Financials - water services'!L$47</f>
        <v>3596.3958940060061</v>
      </c>
      <c r="M39" s="61">
        <f>'4. Financials - water services'!M$47</f>
        <v>3600.7281237348711</v>
      </c>
      <c r="N39" s="61">
        <f>'4. Financials - water services'!N$47</f>
        <v>3594.6114199412204</v>
      </c>
      <c r="O39" s="74">
        <f>SUM(E39:N39)</f>
        <v>30833.599509754175</v>
      </c>
    </row>
    <row r="40" spans="1:15" ht="11" thickBot="1">
      <c r="A40" s="11" t="s">
        <v>170</v>
      </c>
      <c r="C40" s="73">
        <f>C38/C39-1</f>
        <v>3.3522677234698373</v>
      </c>
      <c r="D40" s="78"/>
      <c r="E40" s="73">
        <f t="shared" ref="E40:O40" si="7">E38/E39-1</f>
        <v>1.4790841039189786</v>
      </c>
      <c r="F40" s="73">
        <f t="shared" si="7"/>
        <v>1.8705636743215033</v>
      </c>
      <c r="G40" s="73">
        <f t="shared" si="7"/>
        <v>1.3409989220265901</v>
      </c>
      <c r="H40" s="73">
        <f t="shared" si="7"/>
        <v>1.4046869534802378</v>
      </c>
      <c r="I40" s="73">
        <f t="shared" si="7"/>
        <v>1.4909667194928686</v>
      </c>
      <c r="J40" s="73">
        <f t="shared" si="7"/>
        <v>1.3174227417204962</v>
      </c>
      <c r="K40" s="73">
        <f t="shared" si="7"/>
        <v>1.5945635507086648</v>
      </c>
      <c r="L40" s="73">
        <f t="shared" si="7"/>
        <v>0.70798354268328545</v>
      </c>
      <c r="M40" s="73">
        <f t="shared" si="7"/>
        <v>0.89777280717933006</v>
      </c>
      <c r="N40" s="73">
        <f t="shared" si="7"/>
        <v>0.69299796174839434</v>
      </c>
      <c r="O40" s="73">
        <f t="shared" si="7"/>
        <v>1.2372968443423331</v>
      </c>
    </row>
    <row r="41" spans="1:15" ht="5.25" customHeight="1" thickBot="1"/>
    <row r="42" spans="1:15" ht="11" thickBot="1">
      <c r="A42" s="3" t="s">
        <v>172</v>
      </c>
      <c r="C42" s="4" t="s">
        <v>29</v>
      </c>
      <c r="E42" s="4" t="s">
        <v>19</v>
      </c>
      <c r="F42" s="4" t="s">
        <v>20</v>
      </c>
      <c r="G42" s="4" t="s">
        <v>21</v>
      </c>
      <c r="H42" s="4" t="s">
        <v>22</v>
      </c>
      <c r="I42" s="4" t="s">
        <v>23</v>
      </c>
      <c r="J42" s="4" t="s">
        <v>24</v>
      </c>
      <c r="K42" s="4" t="s">
        <v>25</v>
      </c>
      <c r="L42" s="4" t="s">
        <v>26</v>
      </c>
      <c r="M42" s="4" t="s">
        <v>27</v>
      </c>
      <c r="N42" s="4" t="s">
        <v>28</v>
      </c>
    </row>
    <row r="43" spans="1:15" ht="11" thickBot="1">
      <c r="A43" s="5" t="s">
        <v>173</v>
      </c>
      <c r="C43" s="61">
        <f>'4. Financials - water services'!C$82</f>
        <v>70103</v>
      </c>
      <c r="E43" s="61">
        <f>'4. Financials - water services'!E$82</f>
        <v>73462</v>
      </c>
      <c r="F43" s="61">
        <f>'4. Financials - water services'!F$82</f>
        <v>81660.352591999996</v>
      </c>
      <c r="G43" s="61">
        <f>'4. Financials - water services'!G$82</f>
        <v>85392.352591999996</v>
      </c>
      <c r="H43" s="61">
        <f>'4. Financials - water services'!H$82</f>
        <v>93643.81328056319</v>
      </c>
      <c r="I43" s="61">
        <f>'4. Financials - water services'!I$82</f>
        <v>98347.81328056319</v>
      </c>
      <c r="J43" s="61">
        <f>'4. Financials - water services'!J$82</f>
        <v>107508.80615261244</v>
      </c>
      <c r="K43" s="61">
        <f>'4. Financials - water services'!K$82</f>
        <v>112815.29690365147</v>
      </c>
      <c r="L43" s="61">
        <f>'4. Financials - water services'!L$82</f>
        <v>120841.60187197324</v>
      </c>
      <c r="M43" s="61">
        <f>'4. Financials - water services'!M$82</f>
        <v>124074.23766750826</v>
      </c>
      <c r="N43" s="61">
        <f>'4. Financials - water services'!N$82</f>
        <v>132592.3262237419</v>
      </c>
    </row>
    <row r="44" spans="1:15" ht="15" customHeight="1" thickBot="1">
      <c r="A44" s="5" t="s">
        <v>174</v>
      </c>
      <c r="C44" s="61">
        <f>SUM(Input!$C$13:$E$13)</f>
        <v>85466</v>
      </c>
      <c r="E44" s="61">
        <f>Input!C$31</f>
        <v>91096</v>
      </c>
      <c r="F44" s="61">
        <f>Input!D$31</f>
        <v>102581.915136</v>
      </c>
      <c r="G44" s="61">
        <f>Input!E$31</f>
        <v>109096.915136</v>
      </c>
      <c r="H44" s="61">
        <f>Input!F$31</f>
        <v>121383.1221267456</v>
      </c>
      <c r="I44" s="61">
        <f>Input!G$31</f>
        <v>129242.1221267456</v>
      </c>
      <c r="J44" s="61">
        <f>Input!H$31</f>
        <v>143186.47271756548</v>
      </c>
      <c r="K44" s="61">
        <f>Input!I$31</f>
        <v>151820.8275406766</v>
      </c>
      <c r="L44" s="61">
        <f>Input!J$31</f>
        <v>165338.25589054878</v>
      </c>
      <c r="M44" s="61">
        <f>Input!K$31</f>
        <v>172171.61980981866</v>
      </c>
      <c r="N44" s="61">
        <f>Input!L$31</f>
        <v>186620.68377784968</v>
      </c>
    </row>
    <row r="45" spans="1:15" ht="11" thickBot="1">
      <c r="A45" s="11" t="s">
        <v>172</v>
      </c>
      <c r="C45" s="73">
        <f>C43/C44</f>
        <v>0.82024430767790701</v>
      </c>
      <c r="E45" s="73">
        <f t="shared" ref="E45:N45" si="8">E43/E44</f>
        <v>0.80642399227188899</v>
      </c>
      <c r="F45" s="73">
        <f t="shared" si="8"/>
        <v>0.79605018568562669</v>
      </c>
      <c r="G45" s="73">
        <f t="shared" si="8"/>
        <v>0.78272013911255012</v>
      </c>
      <c r="H45" s="73">
        <f t="shared" si="8"/>
        <v>0.77147309807027675</v>
      </c>
      <c r="I45" s="73">
        <f t="shared" si="8"/>
        <v>0.76095789563185234</v>
      </c>
      <c r="J45" s="73">
        <f t="shared" si="8"/>
        <v>0.75083074617441659</v>
      </c>
      <c r="K45" s="73">
        <f t="shared" si="8"/>
        <v>0.74308182040059967</v>
      </c>
      <c r="L45" s="73">
        <f t="shared" si="8"/>
        <v>0.73087502478536126</v>
      </c>
      <c r="M45" s="73">
        <f t="shared" si="8"/>
        <v>0.72064279702172218</v>
      </c>
      <c r="N45" s="73">
        <f t="shared" si="8"/>
        <v>0.71049105350818298</v>
      </c>
    </row>
    <row r="48" spans="1:15">
      <c r="A48" s="67" t="s">
        <v>175</v>
      </c>
      <c r="B48" s="67"/>
      <c r="C48" s="67"/>
      <c r="D48" s="67"/>
      <c r="E48" s="67"/>
      <c r="F48" s="67"/>
      <c r="G48" s="67"/>
      <c r="H48" s="67"/>
      <c r="I48" s="67"/>
      <c r="J48" s="67"/>
      <c r="K48" s="67"/>
      <c r="L48" s="67"/>
      <c r="M48" s="67"/>
      <c r="N48" s="67"/>
      <c r="O48" s="67"/>
    </row>
    <row r="49" spans="1:16" ht="5.25" customHeight="1" thickBot="1"/>
    <row r="50" spans="1:16" ht="11" thickBot="1">
      <c r="A50" s="3" t="s">
        <v>176</v>
      </c>
      <c r="C50" s="4" t="s">
        <v>29</v>
      </c>
      <c r="E50" s="4" t="s">
        <v>19</v>
      </c>
      <c r="F50" s="4" t="s">
        <v>20</v>
      </c>
      <c r="G50" s="4" t="s">
        <v>21</v>
      </c>
      <c r="H50" s="4" t="s">
        <v>22</v>
      </c>
      <c r="I50" s="4" t="s">
        <v>23</v>
      </c>
      <c r="J50" s="4" t="s">
        <v>24</v>
      </c>
      <c r="K50" s="4" t="s">
        <v>25</v>
      </c>
      <c r="L50" s="4" t="s">
        <v>26</v>
      </c>
      <c r="M50" s="4" t="s">
        <v>27</v>
      </c>
      <c r="N50" s="4" t="s">
        <v>28</v>
      </c>
    </row>
    <row r="51" spans="1:16" ht="11" thickBot="1">
      <c r="A51" s="5" t="s">
        <v>177</v>
      </c>
      <c r="C51" s="61">
        <f>'4. Financials - water services'!C$87+'4. Financials - water services'!C$89</f>
        <v>27559</v>
      </c>
      <c r="E51" s="61">
        <f>'4. Financials - water services'!E$87+'4. Financials - water services'!E$89</f>
        <v>30239</v>
      </c>
      <c r="F51" s="61">
        <f>'4. Financials - water services'!F$87+'4. Financials - water services'!F$89</f>
        <v>33644</v>
      </c>
      <c r="G51" s="61">
        <f>'4. Financials - water services'!G$87+'4. Financials - water services'!G$89</f>
        <v>35908</v>
      </c>
      <c r="H51" s="61">
        <f>'4. Financials - water services'!H$87+'4. Financials - water services'!H$89</f>
        <v>40161.205000408918</v>
      </c>
      <c r="I51" s="61">
        <f>'4. Financials - water services'!I$87+'4. Financials - water services'!I$89</f>
        <v>43808.901970775521</v>
      </c>
      <c r="J51" s="61">
        <f>'4. Financials - water services'!J$87+'4. Financials - water services'!J$89</f>
        <v>46700.315315953259</v>
      </c>
      <c r="K51" s="61">
        <f>'4. Financials - water services'!K$87+'4. Financials - water services'!K$89</f>
        <v>50328.33748562829</v>
      </c>
      <c r="L51" s="61">
        <f>'4. Financials - water services'!L$87+'4. Financials - water services'!L$89</f>
        <v>51360.380320507495</v>
      </c>
      <c r="M51" s="61">
        <f>'4. Financials - water services'!M$87+'4. Financials - water services'!M$89</f>
        <v>52925.662672860315</v>
      </c>
      <c r="N51" s="61">
        <f>'4. Financials - water services'!N$87+'4. Financials - water services'!N$89</f>
        <v>53667.993929609947</v>
      </c>
    </row>
    <row r="52" spans="1:16" ht="11" thickBot="1">
      <c r="A52" s="5" t="s">
        <v>178</v>
      </c>
      <c r="C52" s="61">
        <f>-'4. Financials - water services'!C$80</f>
        <v>-1615</v>
      </c>
      <c r="E52" s="61">
        <f>-'4. Financials - water services'!E$80</f>
        <v>-1615.0569999999998</v>
      </c>
      <c r="F52" s="61">
        <f>-'4. Financials - water services'!F$80</f>
        <v>-1615.0569999999998</v>
      </c>
      <c r="G52" s="61">
        <f>-'4. Financials - water services'!G$80</f>
        <v>-1615.0569999999998</v>
      </c>
      <c r="H52" s="61">
        <f>-'4. Financials - water services'!H$80</f>
        <v>-1615.0569999999998</v>
      </c>
      <c r="I52" s="61">
        <f>-'4. Financials - water services'!I$80</f>
        <v>-1615.0569999999998</v>
      </c>
      <c r="J52" s="61">
        <f>-'4. Financials - water services'!J$80</f>
        <v>-1615.0569999999962</v>
      </c>
      <c r="K52" s="61">
        <f>-'4. Financials - water services'!K$80</f>
        <v>-1615.0569999999962</v>
      </c>
      <c r="L52" s="61">
        <f>-'4. Financials - water services'!L$80</f>
        <v>-1615.0569999999962</v>
      </c>
      <c r="M52" s="61">
        <f>-'4. Financials - water services'!M$80</f>
        <v>-1615.0569999999962</v>
      </c>
      <c r="N52" s="61">
        <f>-'4. Financials - water services'!N$80</f>
        <v>-1615.0569999999962</v>
      </c>
    </row>
    <row r="53" spans="1:16" ht="11" thickBot="1">
      <c r="A53" s="11" t="s">
        <v>176</v>
      </c>
      <c r="C53" s="70">
        <f>SUM(C51:C52)</f>
        <v>25944</v>
      </c>
      <c r="E53" s="70">
        <f t="shared" ref="E53:N53" si="9">SUM(E51:E52)</f>
        <v>28623.942999999999</v>
      </c>
      <c r="F53" s="70">
        <f t="shared" si="9"/>
        <v>32028.942999999999</v>
      </c>
      <c r="G53" s="70">
        <f t="shared" si="9"/>
        <v>34292.942999999999</v>
      </c>
      <c r="H53" s="70">
        <f t="shared" si="9"/>
        <v>38546.148000408917</v>
      </c>
      <c r="I53" s="70">
        <f t="shared" si="9"/>
        <v>42193.844970775521</v>
      </c>
      <c r="J53" s="70">
        <f t="shared" si="9"/>
        <v>45085.258315953266</v>
      </c>
      <c r="K53" s="70">
        <f t="shared" si="9"/>
        <v>48713.280485628296</v>
      </c>
      <c r="L53" s="70">
        <f t="shared" si="9"/>
        <v>49745.323320507501</v>
      </c>
      <c r="M53" s="70">
        <f t="shared" si="9"/>
        <v>51310.605672860322</v>
      </c>
      <c r="N53" s="70">
        <f t="shared" si="9"/>
        <v>52052.936929609954</v>
      </c>
    </row>
    <row r="54" spans="1:16" ht="5.25" customHeight="1" thickBot="1"/>
    <row r="55" spans="1:16" ht="11" thickBot="1">
      <c r="A55" s="3" t="s">
        <v>179</v>
      </c>
      <c r="C55" s="4" t="s">
        <v>29</v>
      </c>
      <c r="E55" s="4" t="s">
        <v>19</v>
      </c>
      <c r="F55" s="4" t="s">
        <v>20</v>
      </c>
      <c r="G55" s="4" t="s">
        <v>21</v>
      </c>
      <c r="H55" s="4" t="s">
        <v>22</v>
      </c>
      <c r="I55" s="4" t="s">
        <v>23</v>
      </c>
      <c r="J55" s="4" t="s">
        <v>24</v>
      </c>
      <c r="K55" s="4" t="s">
        <v>25</v>
      </c>
      <c r="L55" s="4" t="s">
        <v>26</v>
      </c>
      <c r="M55" s="4" t="s">
        <v>27</v>
      </c>
      <c r="N55" s="4" t="s">
        <v>28</v>
      </c>
    </row>
    <row r="56" spans="1:16" ht="11" thickBot="1">
      <c r="A56" s="5" t="s">
        <v>180</v>
      </c>
      <c r="C56" s="61">
        <f>C53</f>
        <v>25944</v>
      </c>
      <c r="E56" s="61">
        <f t="shared" ref="E56:N56" si="10">E53</f>
        <v>28623.942999999999</v>
      </c>
      <c r="F56" s="61">
        <f t="shared" si="10"/>
        <v>32028.942999999999</v>
      </c>
      <c r="G56" s="61">
        <f t="shared" si="10"/>
        <v>34292.942999999999</v>
      </c>
      <c r="H56" s="61">
        <f t="shared" si="10"/>
        <v>38546.148000408917</v>
      </c>
      <c r="I56" s="61">
        <f t="shared" si="10"/>
        <v>42193.844970775521</v>
      </c>
      <c r="J56" s="61">
        <f t="shared" si="10"/>
        <v>45085.258315953266</v>
      </c>
      <c r="K56" s="61">
        <f t="shared" si="10"/>
        <v>48713.280485628296</v>
      </c>
      <c r="L56" s="61">
        <f t="shared" si="10"/>
        <v>49745.323320507501</v>
      </c>
      <c r="M56" s="61">
        <f t="shared" si="10"/>
        <v>51310.605672860322</v>
      </c>
      <c r="N56" s="61">
        <f t="shared" si="10"/>
        <v>52052.936929609954</v>
      </c>
    </row>
    <row r="57" spans="1:16" ht="11" thickBot="1">
      <c r="A57" s="5" t="s">
        <v>181</v>
      </c>
      <c r="C57" s="61">
        <f>'4. Financials - water services'!C$40</f>
        <v>6727</v>
      </c>
      <c r="E57" s="61">
        <f>'4. Financials - water services'!E$40</f>
        <v>6880</v>
      </c>
      <c r="F57" s="61">
        <f>'4. Financials - water services'!F$40</f>
        <v>8304</v>
      </c>
      <c r="G57" s="61">
        <f>'4. Financials - water services'!G$40</f>
        <v>9474</v>
      </c>
      <c r="H57" s="61">
        <f>'4. Financials - water services'!H$40</f>
        <v>10322.915701250451</v>
      </c>
      <c r="I57" s="61">
        <f>'4. Financials - water services'!I$40</f>
        <v>11024.591545798281</v>
      </c>
      <c r="J57" s="61">
        <f>'4. Financials - water services'!J$40</f>
        <v>11768.135858249638</v>
      </c>
      <c r="K57" s="61">
        <f>'4. Financials - water services'!K$40</f>
        <v>12472.338625423343</v>
      </c>
      <c r="L57" s="61">
        <f>'4. Financials - water services'!L$40</f>
        <v>12708.41699699237</v>
      </c>
      <c r="M57" s="61">
        <f>'4. Financials - water services'!M$40</f>
        <v>13050.677526317335</v>
      </c>
      <c r="N57" s="61">
        <f>'4. Financials - water services'!N$40</f>
        <v>13279.779545789024</v>
      </c>
      <c r="P57" s="79"/>
    </row>
    <row r="58" spans="1:16" ht="11" thickBot="1">
      <c r="A58" s="11" t="s">
        <v>179</v>
      </c>
      <c r="C58" s="80">
        <f>C56/C57</f>
        <v>3.8566968931172885</v>
      </c>
      <c r="D58" s="81"/>
      <c r="E58" s="80">
        <f t="shared" ref="E58:N58" si="11">E56/E57</f>
        <v>4.1604568313953489</v>
      </c>
      <c r="F58" s="80">
        <f t="shared" si="11"/>
        <v>3.8570499759152215</v>
      </c>
      <c r="G58" s="80">
        <f t="shared" si="11"/>
        <v>3.6196899936668778</v>
      </c>
      <c r="H58" s="80">
        <f t="shared" si="11"/>
        <v>3.7340368860843927</v>
      </c>
      <c r="I58" s="80">
        <f t="shared" si="11"/>
        <v>3.827247911679462</v>
      </c>
      <c r="J58" s="80">
        <f t="shared" si="11"/>
        <v>3.8311299987540366</v>
      </c>
      <c r="K58" s="80">
        <f t="shared" si="11"/>
        <v>3.9057054132840983</v>
      </c>
      <c r="L58" s="80">
        <f t="shared" si="11"/>
        <v>3.9143603276694847</v>
      </c>
      <c r="M58" s="80">
        <f t="shared" si="11"/>
        <v>3.9316430560321449</v>
      </c>
      <c r="N58" s="80">
        <f t="shared" si="11"/>
        <v>3.9197139342660079</v>
      </c>
      <c r="P58" s="79"/>
    </row>
    <row r="59" spans="1:16" ht="5.25" customHeight="1" thickBot="1"/>
    <row r="60" spans="1:16" ht="11" thickBot="1">
      <c r="A60" s="3" t="s">
        <v>182</v>
      </c>
      <c r="C60" s="4" t="s">
        <v>29</v>
      </c>
      <c r="E60" s="4" t="s">
        <v>19</v>
      </c>
      <c r="F60" s="4" t="s">
        <v>20</v>
      </c>
      <c r="G60" s="4" t="s">
        <v>21</v>
      </c>
      <c r="H60" s="4" t="s">
        <v>22</v>
      </c>
      <c r="I60" s="4" t="s">
        <v>23</v>
      </c>
      <c r="J60" s="4" t="s">
        <v>24</v>
      </c>
      <c r="K60" s="4" t="s">
        <v>25</v>
      </c>
      <c r="L60" s="4" t="s">
        <v>26</v>
      </c>
      <c r="M60" s="4" t="s">
        <v>27</v>
      </c>
      <c r="N60" s="4" t="s">
        <v>28</v>
      </c>
    </row>
    <row r="61" spans="1:16" ht="11" thickBot="1">
      <c r="A61" s="5" t="s">
        <v>181</v>
      </c>
      <c r="C61" s="61">
        <f>'4. Financials - water services'!C$40</f>
        <v>6727</v>
      </c>
      <c r="E61" s="61">
        <f>'4. Financials - water services'!E$40</f>
        <v>6880</v>
      </c>
      <c r="F61" s="61">
        <f>'4. Financials - water services'!F$40</f>
        <v>8304</v>
      </c>
      <c r="G61" s="61">
        <f>'4. Financials - water services'!G$40</f>
        <v>9474</v>
      </c>
      <c r="H61" s="61">
        <f>'4. Financials - water services'!H$40</f>
        <v>10322.915701250451</v>
      </c>
      <c r="I61" s="61">
        <f>'4. Financials - water services'!I$40</f>
        <v>11024.591545798281</v>
      </c>
      <c r="J61" s="61">
        <f>'4. Financials - water services'!J$40</f>
        <v>11768.135858249638</v>
      </c>
      <c r="K61" s="61">
        <f>'4. Financials - water services'!K$40</f>
        <v>12472.338625423343</v>
      </c>
      <c r="L61" s="61">
        <f>'4. Financials - water services'!L$40</f>
        <v>12708.41699699237</v>
      </c>
      <c r="M61" s="61">
        <f>'4. Financials - water services'!M$40</f>
        <v>13050.677526317335</v>
      </c>
      <c r="N61" s="61">
        <f>'4. Financials - water services'!N$40</f>
        <v>13279.779545789024</v>
      </c>
    </row>
    <row r="62" spans="1:16" ht="11" thickBot="1">
      <c r="A62" s="5" t="s">
        <v>183</v>
      </c>
      <c r="C62" s="82">
        <f>Input!$F$11</f>
        <v>5</v>
      </c>
      <c r="D62" s="81"/>
      <c r="E62" s="82">
        <f>Input!$F$11</f>
        <v>5</v>
      </c>
      <c r="F62" s="82">
        <f>Input!$F$11</f>
        <v>5</v>
      </c>
      <c r="G62" s="82">
        <f>Input!$F$11</f>
        <v>5</v>
      </c>
      <c r="H62" s="82">
        <f>Input!$F$11</f>
        <v>5</v>
      </c>
      <c r="I62" s="82">
        <f>Input!$F$11</f>
        <v>5</v>
      </c>
      <c r="J62" s="82">
        <f>Input!$F$11</f>
        <v>5</v>
      </c>
      <c r="K62" s="82">
        <f>Input!$F$11</f>
        <v>5</v>
      </c>
      <c r="L62" s="82">
        <f>Input!$F$11</f>
        <v>5</v>
      </c>
      <c r="M62" s="82">
        <f>Input!$F$11</f>
        <v>5</v>
      </c>
      <c r="N62" s="82">
        <f>Input!$F$11</f>
        <v>5</v>
      </c>
    </row>
    <row r="63" spans="1:16" ht="11" thickBot="1">
      <c r="A63" s="11" t="s">
        <v>184</v>
      </c>
      <c r="C63" s="70">
        <f>C61*C62</f>
        <v>33635</v>
      </c>
      <c r="E63" s="70">
        <f t="shared" ref="E63:N63" si="12">E61*E62</f>
        <v>34400</v>
      </c>
      <c r="F63" s="70">
        <f t="shared" si="12"/>
        <v>41520</v>
      </c>
      <c r="G63" s="70">
        <f t="shared" si="12"/>
        <v>47370</v>
      </c>
      <c r="H63" s="70">
        <f t="shared" si="12"/>
        <v>51614.578506252255</v>
      </c>
      <c r="I63" s="70">
        <f t="shared" si="12"/>
        <v>55122.957728991401</v>
      </c>
      <c r="J63" s="70">
        <f t="shared" si="12"/>
        <v>58840.679291248191</v>
      </c>
      <c r="K63" s="70">
        <f t="shared" si="12"/>
        <v>62361.693127116712</v>
      </c>
      <c r="L63" s="70">
        <f t="shared" si="12"/>
        <v>63542.084984961846</v>
      </c>
      <c r="M63" s="70">
        <f t="shared" si="12"/>
        <v>65253.387631586673</v>
      </c>
      <c r="N63" s="70">
        <f t="shared" si="12"/>
        <v>66398.897728945129</v>
      </c>
    </row>
    <row r="64" spans="1:16" ht="11" thickBot="1">
      <c r="A64" s="5" t="s">
        <v>136</v>
      </c>
      <c r="C64" s="61">
        <f>C53</f>
        <v>25944</v>
      </c>
      <c r="E64" s="61">
        <f t="shared" ref="E64:N64" si="13">E53</f>
        <v>28623.942999999999</v>
      </c>
      <c r="F64" s="61">
        <f t="shared" si="13"/>
        <v>32028.942999999999</v>
      </c>
      <c r="G64" s="61">
        <f t="shared" si="13"/>
        <v>34292.942999999999</v>
      </c>
      <c r="H64" s="61">
        <f t="shared" si="13"/>
        <v>38546.148000408917</v>
      </c>
      <c r="I64" s="61">
        <f t="shared" si="13"/>
        <v>42193.844970775521</v>
      </c>
      <c r="J64" s="61">
        <f t="shared" si="13"/>
        <v>45085.258315953266</v>
      </c>
      <c r="K64" s="61">
        <f t="shared" si="13"/>
        <v>48713.280485628296</v>
      </c>
      <c r="L64" s="61">
        <f t="shared" si="13"/>
        <v>49745.323320507501</v>
      </c>
      <c r="M64" s="61">
        <f t="shared" si="13"/>
        <v>51310.605672860322</v>
      </c>
      <c r="N64" s="61">
        <f t="shared" si="13"/>
        <v>52052.936929609954</v>
      </c>
    </row>
    <row r="65" spans="1:15" ht="11" thickBot="1">
      <c r="A65" s="11" t="s">
        <v>185</v>
      </c>
      <c r="C65" s="70">
        <f>C63-C64</f>
        <v>7691</v>
      </c>
      <c r="E65" s="70">
        <f t="shared" ref="E65:N65" si="14">E63-E64</f>
        <v>5776.0570000000007</v>
      </c>
      <c r="F65" s="70">
        <f t="shared" si="14"/>
        <v>9491.0570000000007</v>
      </c>
      <c r="G65" s="70">
        <f t="shared" si="14"/>
        <v>13077.057000000001</v>
      </c>
      <c r="H65" s="70">
        <f t="shared" si="14"/>
        <v>13068.430505843338</v>
      </c>
      <c r="I65" s="70">
        <f t="shared" si="14"/>
        <v>12929.112758215881</v>
      </c>
      <c r="J65" s="70">
        <f t="shared" si="14"/>
        <v>13755.420975294925</v>
      </c>
      <c r="K65" s="70">
        <f t="shared" si="14"/>
        <v>13648.412641488416</v>
      </c>
      <c r="L65" s="70">
        <f t="shared" si="14"/>
        <v>13796.761664454345</v>
      </c>
      <c r="M65" s="70">
        <f t="shared" si="14"/>
        <v>13942.781958726351</v>
      </c>
      <c r="N65" s="70">
        <f t="shared" si="14"/>
        <v>14345.960799335175</v>
      </c>
    </row>
    <row r="66" spans="1:15" ht="5.25" customHeight="1">
      <c r="E66" s="83"/>
      <c r="F66" s="83"/>
      <c r="G66" s="83"/>
      <c r="H66" s="83"/>
      <c r="I66" s="83"/>
      <c r="J66" s="83"/>
      <c r="K66" s="83"/>
      <c r="L66" s="83"/>
      <c r="M66" s="83"/>
      <c r="N66" s="83"/>
    </row>
    <row r="67" spans="1:15" ht="11" thickBot="1">
      <c r="A67" s="84" t="s">
        <v>135</v>
      </c>
      <c r="E67" s="83"/>
      <c r="F67" s="83"/>
      <c r="G67" s="83"/>
      <c r="H67" s="83"/>
      <c r="I67" s="83"/>
      <c r="J67" s="83"/>
      <c r="K67" s="83"/>
      <c r="L67" s="83"/>
      <c r="M67" s="83"/>
      <c r="N67" s="83"/>
    </row>
    <row r="68" spans="1:15" ht="11" thickBot="1">
      <c r="A68" s="5" t="s">
        <v>186</v>
      </c>
      <c r="C68" s="61">
        <f>('4. Financials - water services'!C8+'4. Financials - water services'!C20+'4. Financials - water services'!C23+'4. Financials - water services'!C24+'4. Financials - water services'!C21*Input!$F$14)</f>
        <v>6778</v>
      </c>
      <c r="E68" s="61">
        <f>('4. Financials - water services'!E8+'4. Financials - water services'!E20+'4. Financials - water services'!E23+'4. Financials - water services'!E24+'4. Financials - water services'!E21*Input!$F$14)</f>
        <v>7504.5</v>
      </c>
      <c r="F68" s="61">
        <f>('4. Financials - water services'!F8+'4. Financials - water services'!F20+'4. Financials - water services'!F23+'4. Financials - water services'!F24+'4. Financials - water services'!F21*Input!$F$14)</f>
        <v>8431.5</v>
      </c>
      <c r="G68" s="61">
        <f>('4. Financials - water services'!G8+'4. Financials - water services'!G20+'4. Financials - water services'!G23+'4. Financials - water services'!G24+'4. Financials - water services'!G21*Input!$F$14)</f>
        <v>9604</v>
      </c>
      <c r="H68" s="61">
        <f>('4. Financials - water services'!H8+'4. Financials - water services'!H20+'4. Financials - water services'!H23+'4. Financials - water services'!H24+'4. Financials - water services'!H21*Input!$F$14)</f>
        <v>10454.915701250451</v>
      </c>
      <c r="I68" s="61">
        <f>('4. Financials - water services'!I8+'4. Financials - water services'!I20+'4. Financials - water services'!I23+'4. Financials - water services'!I24+'4. Financials - water services'!I21*Input!$F$14)</f>
        <v>11158.091545798281</v>
      </c>
      <c r="J68" s="61">
        <f>('4. Financials - water services'!J8+'4. Financials - water services'!J20+'4. Financials - water services'!J23+'4. Financials - water services'!J24+'4. Financials - water services'!J21*Input!$F$14)</f>
        <v>11902.135858249638</v>
      </c>
      <c r="K68" s="61">
        <f>('4. Financials - water services'!K8+'4. Financials - water services'!K20+'4. Financials - water services'!K23+'4. Financials - water services'!K24+'4. Financials - water services'!K21*Input!$F$14)</f>
        <v>12607.338625423343</v>
      </c>
      <c r="L68" s="61">
        <f>('4. Financials - water services'!L8+'4. Financials - water services'!L20+'4. Financials - water services'!L23+'4. Financials - water services'!L24+'4. Financials - water services'!L21*Input!$F$14)</f>
        <v>12844.41699699237</v>
      </c>
      <c r="M68" s="61">
        <f>('4. Financials - water services'!M8+'4. Financials - water services'!M20+'4. Financials - water services'!M23+'4. Financials - water services'!M24+'4. Financials - water services'!M21*Input!$F$14)</f>
        <v>13187.677526317335</v>
      </c>
      <c r="N68" s="61">
        <f>('4. Financials - water services'!N8+'4. Financials - water services'!N20+'4. Financials - water services'!N23+'4. Financials - water services'!N24+'4. Financials - water services'!N21*Input!$F$14)</f>
        <v>13417.779545789024</v>
      </c>
      <c r="O68" s="79"/>
    </row>
    <row r="69" spans="1:15" ht="11" thickBot="1">
      <c r="A69" s="5" t="s">
        <v>187</v>
      </c>
      <c r="C69" s="61">
        <f>-SUM('4. Financials - water services'!C11:C14)</f>
        <v>-5377</v>
      </c>
      <c r="E69" s="61">
        <f>-SUM('4. Financials - water services'!E11:E14)</f>
        <v>-4678.9430000000002</v>
      </c>
      <c r="F69" s="61">
        <f>-SUM('4. Financials - water services'!F11:F14)</f>
        <v>-5089</v>
      </c>
      <c r="G69" s="61">
        <f>-SUM('4. Financials - water services'!G11:G14)</f>
        <v>-5483</v>
      </c>
      <c r="H69" s="61">
        <f>-SUM('4. Financials - water services'!H11:H14)</f>
        <v>-6715.1207016593689</v>
      </c>
      <c r="I69" s="61">
        <f>-SUM('4. Financials - water services'!I11:I14)</f>
        <v>-7080.2885161648919</v>
      </c>
      <c r="J69" s="61">
        <f>-SUM('4. Financials - water services'!J11:J14)</f>
        <v>-7393.6078700940479</v>
      </c>
      <c r="K69" s="61">
        <f>-SUM('4. Financials - water services'!K11:K14)</f>
        <v>-7736.0059719872561</v>
      </c>
      <c r="L69" s="61">
        <f>-SUM('4. Financials - water services'!L11:L14)</f>
        <v>-7869.8748319355782</v>
      </c>
      <c r="M69" s="61">
        <f>-SUM('4. Financials - water services'!M11:M14)</f>
        <v>-8056.595959400267</v>
      </c>
      <c r="N69" s="61">
        <f>-SUM('4. Financials - water services'!N11:N14)</f>
        <v>-8212.4409953006634</v>
      </c>
      <c r="O69" s="79"/>
    </row>
    <row r="70" spans="1:15" ht="11" thickBot="1">
      <c r="A70" s="11" t="s">
        <v>188</v>
      </c>
      <c r="C70" s="70">
        <f>C68+C69</f>
        <v>1401</v>
      </c>
      <c r="E70" s="70">
        <f t="shared" ref="E70:N70" si="15">E68+E69</f>
        <v>2825.5569999999998</v>
      </c>
      <c r="F70" s="70">
        <f t="shared" si="15"/>
        <v>3342.5</v>
      </c>
      <c r="G70" s="70">
        <f t="shared" si="15"/>
        <v>4121</v>
      </c>
      <c r="H70" s="70">
        <f t="shared" si="15"/>
        <v>3739.7949995910822</v>
      </c>
      <c r="I70" s="70">
        <f t="shared" si="15"/>
        <v>4077.8030296333891</v>
      </c>
      <c r="J70" s="70">
        <f t="shared" si="15"/>
        <v>4508.5279881555898</v>
      </c>
      <c r="K70" s="70">
        <f t="shared" si="15"/>
        <v>4871.3326534360867</v>
      </c>
      <c r="L70" s="70">
        <f t="shared" si="15"/>
        <v>4974.5421650567914</v>
      </c>
      <c r="M70" s="70">
        <f t="shared" si="15"/>
        <v>5131.0815669170679</v>
      </c>
      <c r="N70" s="70">
        <f t="shared" si="15"/>
        <v>5205.3385504883609</v>
      </c>
    </row>
    <row r="71" spans="1:15" ht="5.25" customHeight="1" thickBot="1">
      <c r="A71" s="84"/>
      <c r="E71" s="83"/>
      <c r="F71" s="83"/>
      <c r="G71" s="83"/>
      <c r="H71" s="83"/>
      <c r="I71" s="83"/>
      <c r="J71" s="83"/>
      <c r="K71" s="83"/>
      <c r="L71" s="83"/>
      <c r="M71" s="83"/>
      <c r="N71" s="83"/>
    </row>
    <row r="72" spans="1:15" ht="11" thickBot="1">
      <c r="A72" s="3" t="s">
        <v>135</v>
      </c>
      <c r="C72" s="4" t="s">
        <v>29</v>
      </c>
      <c r="E72" s="85" t="s">
        <v>19</v>
      </c>
      <c r="F72" s="85" t="s">
        <v>20</v>
      </c>
      <c r="G72" s="85" t="s">
        <v>21</v>
      </c>
      <c r="H72" s="85" t="s">
        <v>22</v>
      </c>
      <c r="I72" s="85" t="s">
        <v>23</v>
      </c>
      <c r="J72" s="85" t="s">
        <v>24</v>
      </c>
      <c r="K72" s="85" t="s">
        <v>25</v>
      </c>
      <c r="L72" s="85" t="s">
        <v>26</v>
      </c>
      <c r="M72" s="85" t="s">
        <v>27</v>
      </c>
      <c r="N72" s="85" t="s">
        <v>28</v>
      </c>
    </row>
    <row r="73" spans="1:15" ht="11" thickBot="1">
      <c r="A73" s="5" t="s">
        <v>136</v>
      </c>
      <c r="C73" s="61">
        <f>C53</f>
        <v>25944</v>
      </c>
      <c r="E73" s="61">
        <f t="shared" ref="E73:N73" si="16">E53</f>
        <v>28623.942999999999</v>
      </c>
      <c r="F73" s="61">
        <f t="shared" si="16"/>
        <v>32028.942999999999</v>
      </c>
      <c r="G73" s="61">
        <f t="shared" si="16"/>
        <v>34292.942999999999</v>
      </c>
      <c r="H73" s="61">
        <f t="shared" si="16"/>
        <v>38546.148000408917</v>
      </c>
      <c r="I73" s="61">
        <f t="shared" si="16"/>
        <v>42193.844970775521</v>
      </c>
      <c r="J73" s="61">
        <f t="shared" si="16"/>
        <v>45085.258315953266</v>
      </c>
      <c r="K73" s="61">
        <f t="shared" si="16"/>
        <v>48713.280485628296</v>
      </c>
      <c r="L73" s="61">
        <f t="shared" si="16"/>
        <v>49745.323320507501</v>
      </c>
      <c r="M73" s="61">
        <f t="shared" si="16"/>
        <v>51310.605672860322</v>
      </c>
      <c r="N73" s="61">
        <f t="shared" si="16"/>
        <v>52052.936929609954</v>
      </c>
    </row>
    <row r="74" spans="1:15" ht="11" thickBot="1">
      <c r="A74" s="5" t="s">
        <v>137</v>
      </c>
      <c r="C74" s="61">
        <f>C$70</f>
        <v>1401</v>
      </c>
      <c r="E74" s="61">
        <f t="shared" ref="E74:N74" si="17">E$70</f>
        <v>2825.5569999999998</v>
      </c>
      <c r="F74" s="61">
        <f t="shared" si="17"/>
        <v>3342.5</v>
      </c>
      <c r="G74" s="61">
        <f t="shared" si="17"/>
        <v>4121</v>
      </c>
      <c r="H74" s="61">
        <f t="shared" si="17"/>
        <v>3739.7949995910822</v>
      </c>
      <c r="I74" s="61">
        <f t="shared" si="17"/>
        <v>4077.8030296333891</v>
      </c>
      <c r="J74" s="61">
        <f t="shared" si="17"/>
        <v>4508.5279881555898</v>
      </c>
      <c r="K74" s="61">
        <f t="shared" si="17"/>
        <v>4871.3326534360867</v>
      </c>
      <c r="L74" s="61">
        <f t="shared" si="17"/>
        <v>4974.5421650567914</v>
      </c>
      <c r="M74" s="61">
        <f t="shared" si="17"/>
        <v>5131.0815669170679</v>
      </c>
      <c r="N74" s="61">
        <f t="shared" si="17"/>
        <v>5205.3385504883609</v>
      </c>
    </row>
    <row r="75" spans="1:15" ht="11" thickBot="1">
      <c r="A75" s="11" t="s">
        <v>138</v>
      </c>
      <c r="C75" s="73">
        <f>C74/C73</f>
        <v>5.4000925069380201E-2</v>
      </c>
      <c r="D75" s="78"/>
      <c r="E75" s="73">
        <f t="shared" ref="E75:N75" si="18">E74/E73</f>
        <v>9.8713059902334199E-2</v>
      </c>
      <c r="F75" s="73">
        <f t="shared" si="18"/>
        <v>0.10435873578469324</v>
      </c>
      <c r="G75" s="73">
        <f t="shared" si="18"/>
        <v>0.12017049688619609</v>
      </c>
      <c r="H75" s="73">
        <f t="shared" si="18"/>
        <v>9.7021238011938529E-2</v>
      </c>
      <c r="I75" s="73">
        <f t="shared" si="18"/>
        <v>9.664449951071713E-2</v>
      </c>
      <c r="J75" s="73">
        <f t="shared" si="18"/>
        <v>0.10000004783293573</v>
      </c>
      <c r="K75" s="73">
        <f t="shared" si="18"/>
        <v>0.10000009453014068</v>
      </c>
      <c r="L75" s="73">
        <f t="shared" si="18"/>
        <v>0.10000019766694404</v>
      </c>
      <c r="M75" s="73">
        <f t="shared" si="18"/>
        <v>0.10000040926492214</v>
      </c>
      <c r="N75" s="73">
        <f t="shared" si="18"/>
        <v>0.10000086176746234</v>
      </c>
    </row>
    <row r="76" spans="1:15" ht="6.75" customHeight="1" thickBot="1"/>
    <row r="77" spans="1:15" ht="11" thickBot="1">
      <c r="A77" s="3" t="s">
        <v>189</v>
      </c>
      <c r="C77" s="4" t="s">
        <v>29</v>
      </c>
      <c r="E77" s="4" t="s">
        <v>19</v>
      </c>
      <c r="F77" s="4" t="s">
        <v>20</v>
      </c>
      <c r="G77" s="4" t="s">
        <v>21</v>
      </c>
      <c r="H77" s="4" t="s">
        <v>22</v>
      </c>
      <c r="I77" s="4" t="s">
        <v>23</v>
      </c>
      <c r="J77" s="4" t="s">
        <v>24</v>
      </c>
      <c r="K77" s="4" t="s">
        <v>25</v>
      </c>
      <c r="L77" s="4" t="s">
        <v>26</v>
      </c>
      <c r="M77" s="4" t="s">
        <v>27</v>
      </c>
      <c r="N77" s="4" t="s">
        <v>28</v>
      </c>
    </row>
    <row r="78" spans="1:15" ht="11" thickBot="1">
      <c r="A78" s="5" t="s">
        <v>137</v>
      </c>
      <c r="C78" s="61">
        <f>C74</f>
        <v>1401</v>
      </c>
      <c r="E78" s="61">
        <f>E74</f>
        <v>2825.5569999999998</v>
      </c>
      <c r="F78" s="61">
        <f t="shared" ref="F78:N78" si="19">F74</f>
        <v>3342.5</v>
      </c>
      <c r="G78" s="61">
        <f t="shared" si="19"/>
        <v>4121</v>
      </c>
      <c r="H78" s="61">
        <f t="shared" si="19"/>
        <v>3739.7949995910822</v>
      </c>
      <c r="I78" s="61">
        <f t="shared" si="19"/>
        <v>4077.8030296333891</v>
      </c>
      <c r="J78" s="61">
        <f t="shared" si="19"/>
        <v>4508.5279881555898</v>
      </c>
      <c r="K78" s="61">
        <f t="shared" si="19"/>
        <v>4871.3326534360867</v>
      </c>
      <c r="L78" s="61">
        <f t="shared" si="19"/>
        <v>4974.5421650567914</v>
      </c>
      <c r="M78" s="61">
        <f t="shared" si="19"/>
        <v>5131.0815669170679</v>
      </c>
      <c r="N78" s="61">
        <f t="shared" si="19"/>
        <v>5205.3385504883609</v>
      </c>
    </row>
    <row r="79" spans="1:15" ht="11" thickBot="1">
      <c r="A79" s="5" t="s">
        <v>190</v>
      </c>
      <c r="C79" s="61">
        <f>'4. Financials - water services'!C12</f>
        <v>825</v>
      </c>
      <c r="E79" s="61">
        <f>'4. Financials - water services'!E12</f>
        <v>778.94299999999998</v>
      </c>
      <c r="F79" s="61">
        <f>'4. Financials - water services'!F12</f>
        <v>1000</v>
      </c>
      <c r="G79" s="61">
        <f>'4. Financials - water services'!G12</f>
        <v>1206</v>
      </c>
      <c r="H79" s="61">
        <f>'4. Financials - water services'!H12</f>
        <v>2154.6143009827838</v>
      </c>
      <c r="I79" s="61">
        <f>'4. Financials - water services'!I12</f>
        <v>2388.8444554713919</v>
      </c>
      <c r="J79" s="61">
        <f>'4. Financials - water services'!J12</f>
        <v>2581.9253384484118</v>
      </c>
      <c r="K79" s="61">
        <f>'4. Financials - water services'!K12</f>
        <v>2774.1419068421815</v>
      </c>
      <c r="L79" s="61">
        <f>'4. Financials - water services'!L12</f>
        <v>2913.3671011495862</v>
      </c>
      <c r="M79" s="61">
        <f>'4. Financials - water services'!M12</f>
        <v>2989.5707473796456</v>
      </c>
      <c r="N79" s="61">
        <f>'4. Financials - water services'!N12</f>
        <v>3056.3167748292308</v>
      </c>
    </row>
    <row r="80" spans="1:15" ht="11" thickBot="1">
      <c r="A80" s="11" t="s">
        <v>189</v>
      </c>
      <c r="C80" s="86">
        <f>(C78+C79)/C79</f>
        <v>2.6981818181818182</v>
      </c>
      <c r="D80" s="87"/>
      <c r="E80" s="86">
        <f>(E78+E79)/E79</f>
        <v>4.6274245997460666</v>
      </c>
      <c r="F80" s="86">
        <f t="shared" ref="F80:N80" si="20">(F78+F79)/F79</f>
        <v>4.3425000000000002</v>
      </c>
      <c r="G80" s="86">
        <f t="shared" si="20"/>
        <v>4.4170812603648422</v>
      </c>
      <c r="H80" s="86">
        <f t="shared" si="20"/>
        <v>2.7357143679429075</v>
      </c>
      <c r="I80" s="86">
        <f t="shared" si="20"/>
        <v>2.7070190653450115</v>
      </c>
      <c r="J80" s="86">
        <f t="shared" si="20"/>
        <v>2.7461883661070368</v>
      </c>
      <c r="K80" s="86">
        <f t="shared" si="20"/>
        <v>2.7559781788456332</v>
      </c>
      <c r="L80" s="86">
        <f t="shared" si="20"/>
        <v>2.7074889611727562</v>
      </c>
      <c r="M80" s="86">
        <f t="shared" si="20"/>
        <v>2.7163271922614487</v>
      </c>
      <c r="N80" s="86">
        <f t="shared" si="20"/>
        <v>2.7031410465556878</v>
      </c>
    </row>
  </sheetData>
  <pageMargins left="0.7" right="0.7" top="0.75" bottom="0.75" header="0.3" footer="0.3"/>
  <pageSetup paperSize="9" scale="6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BE0E7-8FDE-4DA4-9A8E-B95400E31FAB}">
  <sheetPr codeName="Sheet28">
    <pageSetUpPr fitToPage="1"/>
  </sheetPr>
  <dimension ref="A1:K94"/>
  <sheetViews>
    <sheetView topLeftCell="A86" workbookViewId="0">
      <selection activeCell="E89" sqref="E89"/>
    </sheetView>
  </sheetViews>
  <sheetFormatPr defaultColWidth="6.6328125" defaultRowHeight="10.5"/>
  <cols>
    <col min="1" max="1" width="57.08984375" style="1" customWidth="1"/>
    <col min="2" max="11" width="12" style="1" customWidth="1"/>
    <col min="12" max="16384" width="6.6328125" style="1"/>
  </cols>
  <sheetData>
    <row r="1" spans="1:11" ht="5.25" customHeight="1" thickBot="1">
      <c r="A1" s="88"/>
    </row>
    <row r="2" spans="1:11" ht="11" thickBot="1">
      <c r="A2" s="89" t="s">
        <v>191</v>
      </c>
      <c r="B2" s="90" t="s">
        <v>19</v>
      </c>
      <c r="C2" s="90" t="s">
        <v>20</v>
      </c>
      <c r="D2" s="90" t="s">
        <v>21</v>
      </c>
      <c r="E2" s="90" t="s">
        <v>22</v>
      </c>
      <c r="F2" s="90" t="s">
        <v>23</v>
      </c>
      <c r="G2" s="90" t="s">
        <v>24</v>
      </c>
      <c r="H2" s="90" t="s">
        <v>25</v>
      </c>
      <c r="I2" s="90" t="s">
        <v>26</v>
      </c>
      <c r="J2" s="90" t="s">
        <v>27</v>
      </c>
      <c r="K2" s="91" t="s">
        <v>28</v>
      </c>
    </row>
    <row r="3" spans="1:11" ht="11" thickBot="1">
      <c r="A3" s="92" t="s">
        <v>2</v>
      </c>
      <c r="B3" s="93"/>
      <c r="C3" s="93"/>
      <c r="D3" s="93"/>
      <c r="E3" s="93"/>
      <c r="F3" s="93"/>
      <c r="G3" s="93"/>
      <c r="H3" s="93"/>
      <c r="I3" s="93"/>
      <c r="J3" s="93"/>
      <c r="K3" s="93"/>
    </row>
    <row r="4" spans="1:11" ht="11" thickBot="1">
      <c r="A4" s="94" t="s">
        <v>192</v>
      </c>
      <c r="B4" s="95">
        <f>'5. Financials - drinking water'!E$28</f>
        <v>75</v>
      </c>
      <c r="C4" s="95">
        <f>'5. Financials - drinking water'!F$28</f>
        <v>77</v>
      </c>
      <c r="D4" s="95">
        <f>'5. Financials - drinking water'!G$28</f>
        <v>80</v>
      </c>
      <c r="E4" s="95">
        <f>'5. Financials - drinking water'!H$28</f>
        <v>83</v>
      </c>
      <c r="F4" s="95">
        <f>'5. Financials - drinking water'!I$28</f>
        <v>85</v>
      </c>
      <c r="G4" s="95">
        <f>'5. Financials - drinking water'!J$28</f>
        <v>85.939509769094144</v>
      </c>
      <c r="H4" s="95">
        <f>'5. Financials - drinking water'!K$28</f>
        <v>88.806048221038083</v>
      </c>
      <c r="I4" s="95">
        <f>'5. Financials - drinking water'!L$28</f>
        <v>90.603996316570743</v>
      </c>
      <c r="J4" s="95">
        <f>'5. Financials - drinking water'!M$28</f>
        <v>92.394062744066716</v>
      </c>
      <c r="K4" s="95">
        <f>'5. Financials - drinking water'!N$28</f>
        <v>94.176296340322452</v>
      </c>
    </row>
    <row r="5" spans="1:11" ht="11" thickBot="1">
      <c r="A5" s="94" t="s">
        <v>193</v>
      </c>
      <c r="B5" s="95">
        <f>'5. Financials - drinking water'!E$29</f>
        <v>600</v>
      </c>
      <c r="C5" s="95">
        <f>'5. Financials - drinking water'!F$29</f>
        <v>103</v>
      </c>
      <c r="D5" s="95">
        <f>'5. Financials - drinking water'!G$29</f>
        <v>32</v>
      </c>
      <c r="E5" s="95">
        <f>'5. Financials - drinking water'!H$29</f>
        <v>1100</v>
      </c>
      <c r="F5" s="95">
        <f>'5. Financials - drinking water'!I$29</f>
        <v>2543</v>
      </c>
      <c r="G5" s="95">
        <f>'5. Financials - drinking water'!J$29</f>
        <v>2298.333705150977</v>
      </c>
      <c r="H5" s="95">
        <f>'5. Financials - drinking water'!K$29</f>
        <v>2354.8727392397868</v>
      </c>
      <c r="I5" s="95">
        <f>'5. Financials - drinking water'!L$29</f>
        <v>0</v>
      </c>
      <c r="J5" s="95">
        <f>'5. Financials - drinking water'!M$29</f>
        <v>0</v>
      </c>
      <c r="K5" s="95">
        <f>'5. Financials - drinking water'!N$29</f>
        <v>0</v>
      </c>
    </row>
    <row r="6" spans="1:11" ht="11" thickBot="1">
      <c r="A6" s="94" t="s">
        <v>194</v>
      </c>
      <c r="B6" s="95">
        <f>'5. Financials - drinking water'!E$30</f>
        <v>2295</v>
      </c>
      <c r="C6" s="95">
        <f>'5. Financials - drinking water'!F$30</f>
        <v>2530</v>
      </c>
      <c r="D6" s="95">
        <f>'5. Financials - drinking water'!G$30</f>
        <v>1458</v>
      </c>
      <c r="E6" s="95">
        <f>'5. Financials - drinking water'!H$30</f>
        <v>1213</v>
      </c>
      <c r="F6" s="95">
        <f>'5. Financials - drinking water'!I$30</f>
        <v>2153</v>
      </c>
      <c r="G6" s="95">
        <f>'5. Financials - drinking water'!J$30</f>
        <v>1923.4205257548847</v>
      </c>
      <c r="H6" s="95">
        <f>'5. Financials - drinking water'!K$30</f>
        <v>2180.6020726173278</v>
      </c>
      <c r="I6" s="95">
        <f>'5. Financials - drinking water'!L$30</f>
        <v>3033.4611193653805</v>
      </c>
      <c r="J6" s="95">
        <f>'5. Financials - drinking water'!M$30</f>
        <v>3914.5620332511753</v>
      </c>
      <c r="K6" s="95">
        <f>'5. Financials - drinking water'!N$30</f>
        <v>3213.22921957579</v>
      </c>
    </row>
    <row r="7" spans="1:11" ht="11" thickBot="1">
      <c r="A7" s="96" t="s">
        <v>195</v>
      </c>
      <c r="B7" s="97">
        <f t="shared" ref="B7:K7" si="0">SUM(B4:B6)</f>
        <v>2970</v>
      </c>
      <c r="C7" s="97">
        <f t="shared" si="0"/>
        <v>2710</v>
      </c>
      <c r="D7" s="97">
        <f t="shared" si="0"/>
        <v>1570</v>
      </c>
      <c r="E7" s="97">
        <f t="shared" si="0"/>
        <v>2396</v>
      </c>
      <c r="F7" s="97">
        <f t="shared" si="0"/>
        <v>4781</v>
      </c>
      <c r="G7" s="97">
        <f t="shared" si="0"/>
        <v>4307.6937406749557</v>
      </c>
      <c r="H7" s="97">
        <f t="shared" si="0"/>
        <v>4624.2808600781527</v>
      </c>
      <c r="I7" s="97">
        <f t="shared" si="0"/>
        <v>3124.0651156819513</v>
      </c>
      <c r="J7" s="97">
        <f t="shared" si="0"/>
        <v>4006.9560959952419</v>
      </c>
      <c r="K7" s="97">
        <f t="shared" si="0"/>
        <v>3307.4055159161126</v>
      </c>
    </row>
    <row r="8" spans="1:11" ht="5.25" customHeight="1" thickBot="1"/>
    <row r="9" spans="1:11" ht="11" thickBot="1">
      <c r="A9" s="92" t="s">
        <v>3</v>
      </c>
      <c r="B9" s="93"/>
      <c r="C9" s="93"/>
      <c r="D9" s="93"/>
      <c r="E9" s="93"/>
      <c r="F9" s="93"/>
      <c r="G9" s="93"/>
      <c r="H9" s="93"/>
      <c r="I9" s="93"/>
      <c r="J9" s="93"/>
      <c r="K9" s="93"/>
    </row>
    <row r="10" spans="1:11" ht="11" thickBot="1">
      <c r="A10" s="94" t="s">
        <v>192</v>
      </c>
      <c r="B10" s="95">
        <f>'6. Financials - wastewater'!E$28</f>
        <v>0</v>
      </c>
      <c r="C10" s="95">
        <f>'6. Financials - wastewater'!F$28</f>
        <v>0</v>
      </c>
      <c r="D10" s="95">
        <f>'6. Financials - wastewater'!G$28</f>
        <v>0</v>
      </c>
      <c r="E10" s="95">
        <f>'6. Financials - wastewater'!H$28</f>
        <v>0</v>
      </c>
      <c r="F10" s="95">
        <f>'6. Financials - wastewater'!I$28</f>
        <v>0</v>
      </c>
      <c r="G10" s="95">
        <f>'6. Financials - wastewater'!J$28</f>
        <v>0</v>
      </c>
      <c r="H10" s="95">
        <f>'6. Financials - wastewater'!K$28</f>
        <v>0</v>
      </c>
      <c r="I10" s="95">
        <f>'6. Financials - wastewater'!L$28</f>
        <v>0</v>
      </c>
      <c r="J10" s="95">
        <f>'6. Financials - wastewater'!M$28</f>
        <v>0</v>
      </c>
      <c r="K10" s="95">
        <f>'6. Financials - wastewater'!N$28</f>
        <v>0</v>
      </c>
    </row>
    <row r="11" spans="1:11" ht="11" thickBot="1">
      <c r="A11" s="94" t="s">
        <v>193</v>
      </c>
      <c r="B11" s="95">
        <f>'6. Financials - wastewater'!E$29</f>
        <v>360</v>
      </c>
      <c r="C11" s="95">
        <f>'6. Financials - wastewater'!F$29</f>
        <v>279</v>
      </c>
      <c r="D11" s="95">
        <f>'6. Financials - wastewater'!G$29</f>
        <v>253</v>
      </c>
      <c r="E11" s="95">
        <f>'6. Financials - wastewater'!H$29</f>
        <v>62</v>
      </c>
      <c r="F11" s="95">
        <f>'6. Financials - wastewater'!I$29</f>
        <v>66</v>
      </c>
      <c r="G11" s="95">
        <f>'6. Financials - wastewater'!J$29</f>
        <v>67.563732386027269</v>
      </c>
      <c r="H11" s="95">
        <f>'6. Financials - wastewater'!K$29</f>
        <v>67.407907871324227</v>
      </c>
      <c r="I11" s="95">
        <f>'6. Financials - wastewater'!L$29</f>
        <v>75.7134405818733</v>
      </c>
      <c r="J11" s="95">
        <f>'6. Financials - wastewater'!M$29</f>
        <v>79.548375019920144</v>
      </c>
      <c r="K11" s="95">
        <f>'6. Financials - wastewater'!N$29</f>
        <v>85.353915826546086</v>
      </c>
    </row>
    <row r="12" spans="1:11" ht="11" thickBot="1">
      <c r="A12" s="94" t="s">
        <v>194</v>
      </c>
      <c r="B12" s="95">
        <f>'6. Financials - wastewater'!E$30</f>
        <v>2200</v>
      </c>
      <c r="C12" s="95">
        <f>'6. Financials - wastewater'!F$30</f>
        <v>3886</v>
      </c>
      <c r="D12" s="95">
        <f>'6. Financials - wastewater'!G$30</f>
        <v>4371</v>
      </c>
      <c r="E12" s="95">
        <f>'6. Financials - wastewater'!H$30</f>
        <v>4252</v>
      </c>
      <c r="F12" s="95">
        <f>'6. Financials - wastewater'!I$30</f>
        <v>2842</v>
      </c>
      <c r="G12" s="95">
        <f>'6. Financials - wastewater'!J$30</f>
        <v>2986.8625222024871</v>
      </c>
      <c r="H12" s="95">
        <f>'6. Financials - wastewater'!K$30</f>
        <v>3942.6660551616342</v>
      </c>
      <c r="I12" s="95">
        <f>'6. Financials - wastewater'!L$30</f>
        <v>2942.8064436721752</v>
      </c>
      <c r="J12" s="95">
        <f>'6. Financials - wastewater'!M$30</f>
        <v>2746.859448254726</v>
      </c>
      <c r="K12" s="95">
        <f>'6. Financials - wastewater'!N$30</f>
        <v>2692.9103754953298</v>
      </c>
    </row>
    <row r="13" spans="1:11" ht="11" thickBot="1">
      <c r="A13" s="96" t="s">
        <v>196</v>
      </c>
      <c r="B13" s="97">
        <f t="shared" ref="B13:K13" si="1">SUM(B10:B12)</f>
        <v>2560</v>
      </c>
      <c r="C13" s="97">
        <f t="shared" si="1"/>
        <v>4165</v>
      </c>
      <c r="D13" s="97">
        <f t="shared" si="1"/>
        <v>4624</v>
      </c>
      <c r="E13" s="97">
        <f t="shared" si="1"/>
        <v>4314</v>
      </c>
      <c r="F13" s="97">
        <f t="shared" si="1"/>
        <v>2908</v>
      </c>
      <c r="G13" s="97">
        <f t="shared" si="1"/>
        <v>3054.4262545885144</v>
      </c>
      <c r="H13" s="97">
        <f t="shared" si="1"/>
        <v>4010.0739630329585</v>
      </c>
      <c r="I13" s="97">
        <f t="shared" si="1"/>
        <v>3018.5198842540485</v>
      </c>
      <c r="J13" s="97">
        <f t="shared" si="1"/>
        <v>2826.407823274646</v>
      </c>
      <c r="K13" s="97">
        <f t="shared" si="1"/>
        <v>2778.264291321876</v>
      </c>
    </row>
    <row r="14" spans="1:11" ht="5.25" customHeight="1" thickBot="1"/>
    <row r="15" spans="1:11" ht="11" thickBot="1">
      <c r="A15" s="92" t="s">
        <v>4</v>
      </c>
      <c r="B15" s="93"/>
      <c r="C15" s="93"/>
      <c r="D15" s="93"/>
      <c r="E15" s="93"/>
      <c r="F15" s="93"/>
      <c r="G15" s="93"/>
      <c r="H15" s="93"/>
      <c r="I15" s="93"/>
      <c r="J15" s="93"/>
      <c r="K15" s="93"/>
    </row>
    <row r="16" spans="1:11" ht="11" thickBot="1">
      <c r="A16" s="94" t="s">
        <v>192</v>
      </c>
      <c r="B16" s="95">
        <f>'7. Financials - stormwater'!E$28</f>
        <v>0</v>
      </c>
      <c r="C16" s="95">
        <f>'7. Financials - stormwater'!F$28</f>
        <v>0</v>
      </c>
      <c r="D16" s="95">
        <f>'7. Financials - stormwater'!G$28</f>
        <v>0</v>
      </c>
      <c r="E16" s="95">
        <f>'7. Financials - stormwater'!H$28</f>
        <v>0</v>
      </c>
      <c r="F16" s="95">
        <f>'7. Financials - stormwater'!I$28</f>
        <v>0</v>
      </c>
      <c r="G16" s="95">
        <f>'7. Financials - stormwater'!J$28</f>
        <v>0</v>
      </c>
      <c r="H16" s="95">
        <f>'7. Financials - stormwater'!K$28</f>
        <v>0</v>
      </c>
      <c r="I16" s="95">
        <f>'7. Financials - stormwater'!L$28</f>
        <v>0</v>
      </c>
      <c r="J16" s="95">
        <f>'7. Financials - stormwater'!M$28</f>
        <v>0</v>
      </c>
      <c r="K16" s="95">
        <f>'7. Financials - stormwater'!N$28</f>
        <v>0</v>
      </c>
    </row>
    <row r="17" spans="1:11" ht="11" thickBot="1">
      <c r="A17" s="94" t="s">
        <v>193</v>
      </c>
      <c r="B17" s="95">
        <f>'7. Financials - stormwater'!E$29</f>
        <v>0</v>
      </c>
      <c r="C17" s="95">
        <f>'7. Financials - stormwater'!F$29</f>
        <v>0</v>
      </c>
      <c r="D17" s="95">
        <f>'7. Financials - stormwater'!G$29</f>
        <v>0</v>
      </c>
      <c r="E17" s="95">
        <f>'7. Financials - stormwater'!H$29</f>
        <v>0</v>
      </c>
      <c r="F17" s="95">
        <f>'7. Financials - stormwater'!I$29</f>
        <v>0</v>
      </c>
      <c r="G17" s="95">
        <f>'7. Financials - stormwater'!J$29</f>
        <v>0</v>
      </c>
      <c r="H17" s="95">
        <f>'7. Financials - stormwater'!K$29</f>
        <v>0</v>
      </c>
      <c r="I17" s="95">
        <f>'7. Financials - stormwater'!L$29</f>
        <v>0</v>
      </c>
      <c r="J17" s="95">
        <f>'7. Financials - stormwater'!M$29</f>
        <v>0</v>
      </c>
      <c r="K17" s="95">
        <f>'7. Financials - stormwater'!N$29</f>
        <v>0</v>
      </c>
    </row>
    <row r="18" spans="1:11" ht="11" thickBot="1">
      <c r="A18" s="94" t="s">
        <v>194</v>
      </c>
      <c r="B18" s="95">
        <f>'7. Financials - stormwater'!E$30</f>
        <v>100</v>
      </c>
      <c r="C18" s="95">
        <f>'7. Financials - stormwater'!F$30</f>
        <v>0</v>
      </c>
      <c r="D18" s="95">
        <f>'7. Financials - stormwater'!G$30</f>
        <v>321</v>
      </c>
      <c r="E18" s="95">
        <f>'7. Financials - stormwater'!H$30</f>
        <v>165</v>
      </c>
      <c r="F18" s="95">
        <f>'7. Financials - stormwater'!I$30</f>
        <v>170</v>
      </c>
      <c r="G18" s="95">
        <f>'7. Financials - stormwater'!J$30</f>
        <v>171.82133806986383</v>
      </c>
      <c r="H18" s="95">
        <f>'7. Financials - stormwater'!K$30</f>
        <v>0</v>
      </c>
      <c r="I18" s="95">
        <f>'7. Financials - stormwater'!L$30</f>
        <v>0</v>
      </c>
      <c r="J18" s="95">
        <f>'7. Financials - stormwater'!M$30</f>
        <v>0</v>
      </c>
      <c r="K18" s="95">
        <f>'7. Financials - stormwater'!N$30</f>
        <v>0</v>
      </c>
    </row>
    <row r="19" spans="1:11" ht="11" thickBot="1">
      <c r="A19" s="96" t="s">
        <v>197</v>
      </c>
      <c r="B19" s="97">
        <f t="shared" ref="B19:K19" si="2">SUM(B16:B18)</f>
        <v>100</v>
      </c>
      <c r="C19" s="97">
        <f t="shared" si="2"/>
        <v>0</v>
      </c>
      <c r="D19" s="97">
        <f t="shared" si="2"/>
        <v>321</v>
      </c>
      <c r="E19" s="97">
        <f t="shared" si="2"/>
        <v>165</v>
      </c>
      <c r="F19" s="97">
        <f t="shared" si="2"/>
        <v>170</v>
      </c>
      <c r="G19" s="97">
        <f t="shared" si="2"/>
        <v>171.82133806986383</v>
      </c>
      <c r="H19" s="97">
        <f t="shared" si="2"/>
        <v>0</v>
      </c>
      <c r="I19" s="97">
        <f t="shared" si="2"/>
        <v>0</v>
      </c>
      <c r="J19" s="97">
        <f t="shared" si="2"/>
        <v>0</v>
      </c>
      <c r="K19" s="97">
        <f t="shared" si="2"/>
        <v>0</v>
      </c>
    </row>
    <row r="20" spans="1:11" ht="5.25" customHeight="1" thickBot="1"/>
    <row r="21" spans="1:11" ht="11" thickBot="1">
      <c r="A21" s="96" t="s">
        <v>198</v>
      </c>
      <c r="B21" s="97">
        <f t="shared" ref="B21:K21" si="3">B7+B13+B19</f>
        <v>5630</v>
      </c>
      <c r="C21" s="97">
        <f t="shared" si="3"/>
        <v>6875</v>
      </c>
      <c r="D21" s="97">
        <f t="shared" si="3"/>
        <v>6515</v>
      </c>
      <c r="E21" s="97">
        <f t="shared" si="3"/>
        <v>6875</v>
      </c>
      <c r="F21" s="97">
        <f t="shared" si="3"/>
        <v>7859</v>
      </c>
      <c r="G21" s="97">
        <f t="shared" si="3"/>
        <v>7533.9413333333341</v>
      </c>
      <c r="H21" s="97">
        <f t="shared" si="3"/>
        <v>8634.3548231111108</v>
      </c>
      <c r="I21" s="97">
        <f t="shared" si="3"/>
        <v>6142.5849999359998</v>
      </c>
      <c r="J21" s="97">
        <f t="shared" si="3"/>
        <v>6833.3639192698884</v>
      </c>
      <c r="K21" s="97">
        <f t="shared" si="3"/>
        <v>6085.6698072379886</v>
      </c>
    </row>
    <row r="24" spans="1:11" ht="11" thickBot="1">
      <c r="A24" s="98" t="s">
        <v>199</v>
      </c>
      <c r="B24" s="119" t="s">
        <v>200</v>
      </c>
      <c r="C24" s="119"/>
      <c r="D24" s="119"/>
      <c r="E24" s="119"/>
      <c r="F24" s="119" t="s">
        <v>201</v>
      </c>
      <c r="G24" s="119"/>
      <c r="H24" s="119"/>
      <c r="I24" s="119"/>
    </row>
    <row r="25" spans="1:11" ht="11" thickBot="1">
      <c r="A25" s="99"/>
      <c r="B25" s="99" t="s">
        <v>202</v>
      </c>
      <c r="C25" s="99" t="s">
        <v>203</v>
      </c>
      <c r="D25" s="99" t="s">
        <v>204</v>
      </c>
      <c r="E25" s="99" t="s">
        <v>159</v>
      </c>
      <c r="F25" s="99" t="s">
        <v>202</v>
      </c>
      <c r="G25" s="99" t="s">
        <v>203</v>
      </c>
      <c r="H25" s="99" t="s">
        <v>204</v>
      </c>
      <c r="I25" s="99" t="s">
        <v>159</v>
      </c>
    </row>
    <row r="26" spans="1:11" ht="11" thickBot="1">
      <c r="A26" s="94" t="s">
        <v>205</v>
      </c>
      <c r="B26" s="100">
        <v>1074</v>
      </c>
      <c r="C26" s="100">
        <v>9655</v>
      </c>
      <c r="D26" s="100">
        <v>2238</v>
      </c>
      <c r="E26" s="97">
        <f>SUM(B26:D26)</f>
        <v>12967</v>
      </c>
      <c r="F26" s="100">
        <v>3684</v>
      </c>
      <c r="G26" s="100">
        <v>14179</v>
      </c>
      <c r="H26" s="100">
        <v>12015</v>
      </c>
      <c r="I26" s="97">
        <f>SUM(F26:H26)</f>
        <v>29878</v>
      </c>
    </row>
    <row r="27" spans="1:11" ht="11" thickBot="1">
      <c r="A27" s="94" t="s">
        <v>206</v>
      </c>
      <c r="B27" s="100">
        <v>785</v>
      </c>
      <c r="C27" s="100">
        <v>8396</v>
      </c>
      <c r="D27" s="100">
        <v>2943</v>
      </c>
      <c r="E27" s="97">
        <f>SUM(B27:D27)</f>
        <v>12124</v>
      </c>
      <c r="F27" s="100">
        <v>3071</v>
      </c>
      <c r="G27" s="100">
        <v>21969</v>
      </c>
      <c r="H27" s="100">
        <v>12379</v>
      </c>
      <c r="I27" s="97">
        <f>SUM(F27:H27)</f>
        <v>37419</v>
      </c>
    </row>
    <row r="28" spans="1:11" ht="11" thickBot="1">
      <c r="A28" s="96" t="s">
        <v>207</v>
      </c>
      <c r="B28" s="101">
        <f>B27/B26</f>
        <v>0.73091247672253257</v>
      </c>
      <c r="C28" s="101">
        <f>C27/C26</f>
        <v>0.86960124287933716</v>
      </c>
      <c r="D28" s="101">
        <f>D27/D26</f>
        <v>1.3150134048257374</v>
      </c>
      <c r="E28" s="101">
        <f t="shared" ref="E28:I28" si="4">E27/E26</f>
        <v>0.93498881776818077</v>
      </c>
      <c r="F28" s="101">
        <f>F27/F26</f>
        <v>0.83360477741585237</v>
      </c>
      <c r="G28" s="101">
        <f>G27/G26</f>
        <v>1.5494040482403555</v>
      </c>
      <c r="H28" s="101">
        <f>H27/H26</f>
        <v>1.0302954640033293</v>
      </c>
      <c r="I28" s="101">
        <f t="shared" si="4"/>
        <v>1.2523930651315349</v>
      </c>
    </row>
    <row r="30" spans="1:11" ht="11" thickBot="1"/>
    <row r="31" spans="1:11" ht="11" thickBot="1">
      <c r="A31" s="89" t="s">
        <v>208</v>
      </c>
      <c r="B31" s="90" t="s">
        <v>19</v>
      </c>
      <c r="C31" s="90" t="s">
        <v>20</v>
      </c>
      <c r="D31" s="90" t="s">
        <v>21</v>
      </c>
      <c r="E31" s="90" t="s">
        <v>22</v>
      </c>
      <c r="F31" s="90" t="s">
        <v>23</v>
      </c>
      <c r="G31" s="90" t="s">
        <v>24</v>
      </c>
      <c r="H31" s="90" t="s">
        <v>25</v>
      </c>
      <c r="I31" s="90" t="s">
        <v>26</v>
      </c>
      <c r="J31" s="90" t="s">
        <v>27</v>
      </c>
      <c r="K31" s="90" t="s">
        <v>28</v>
      </c>
    </row>
    <row r="32" spans="1:11" ht="11" thickBot="1">
      <c r="A32" s="92" t="s">
        <v>209</v>
      </c>
      <c r="B32" s="93"/>
      <c r="C32" s="93"/>
      <c r="D32" s="93"/>
      <c r="E32" s="93"/>
      <c r="F32" s="93"/>
      <c r="G32" s="93"/>
      <c r="H32" s="93"/>
      <c r="I32" s="93"/>
      <c r="J32" s="93"/>
      <c r="K32" s="93"/>
    </row>
    <row r="33" spans="1:11" ht="11" thickBot="1">
      <c r="A33" s="102"/>
      <c r="B33" s="103"/>
      <c r="C33" s="103"/>
      <c r="D33" s="103"/>
      <c r="E33" s="103"/>
      <c r="F33" s="103"/>
      <c r="G33" s="103"/>
      <c r="H33" s="103"/>
      <c r="I33" s="103"/>
      <c r="J33" s="103"/>
      <c r="K33" s="103"/>
    </row>
    <row r="34" spans="1:11" ht="11" thickBot="1">
      <c r="A34" s="102"/>
      <c r="B34" s="103"/>
      <c r="C34" s="103"/>
      <c r="D34" s="103"/>
      <c r="E34" s="103"/>
      <c r="F34" s="103"/>
      <c r="G34" s="103"/>
      <c r="H34" s="103"/>
      <c r="I34" s="103"/>
      <c r="J34" s="103"/>
      <c r="K34" s="103"/>
    </row>
    <row r="35" spans="1:11" ht="11" thickBot="1">
      <c r="A35" s="102"/>
      <c r="B35" s="103"/>
      <c r="C35" s="103"/>
      <c r="D35" s="103"/>
      <c r="E35" s="103"/>
      <c r="F35" s="103"/>
      <c r="G35" s="103"/>
      <c r="H35" s="103"/>
      <c r="I35" s="103"/>
      <c r="J35" s="103"/>
      <c r="K35" s="103"/>
    </row>
    <row r="36" spans="1:11" ht="11" thickBot="1">
      <c r="A36" s="96" t="s">
        <v>210</v>
      </c>
      <c r="B36" s="97">
        <f t="shared" ref="B36:K36" si="5">SUM(B33:B35)</f>
        <v>0</v>
      </c>
      <c r="C36" s="97">
        <f t="shared" si="5"/>
        <v>0</v>
      </c>
      <c r="D36" s="97">
        <f t="shared" si="5"/>
        <v>0</v>
      </c>
      <c r="E36" s="97">
        <f t="shared" si="5"/>
        <v>0</v>
      </c>
      <c r="F36" s="97">
        <f t="shared" si="5"/>
        <v>0</v>
      </c>
      <c r="G36" s="97">
        <f t="shared" si="5"/>
        <v>0</v>
      </c>
      <c r="H36" s="97">
        <f t="shared" si="5"/>
        <v>0</v>
      </c>
      <c r="I36" s="97">
        <f t="shared" si="5"/>
        <v>0</v>
      </c>
      <c r="J36" s="97">
        <f t="shared" si="5"/>
        <v>0</v>
      </c>
      <c r="K36" s="97">
        <f t="shared" si="5"/>
        <v>0</v>
      </c>
    </row>
    <row r="37" spans="1:11" ht="11" thickBot="1"/>
    <row r="38" spans="1:11" ht="11" thickBot="1">
      <c r="A38" s="92" t="s">
        <v>211</v>
      </c>
      <c r="B38" s="93"/>
      <c r="C38" s="93"/>
      <c r="D38" s="93"/>
      <c r="E38" s="93"/>
      <c r="F38" s="93"/>
      <c r="G38" s="93"/>
      <c r="H38" s="93"/>
      <c r="I38" s="93"/>
      <c r="J38" s="93"/>
      <c r="K38" s="93"/>
    </row>
    <row r="39" spans="1:11" ht="11" thickBot="1">
      <c r="A39" s="102" t="s">
        <v>291</v>
      </c>
      <c r="B39" s="103">
        <v>600</v>
      </c>
      <c r="C39" s="103"/>
      <c r="D39" s="103"/>
      <c r="E39" s="103"/>
      <c r="F39" s="103"/>
      <c r="G39" s="103"/>
      <c r="H39" s="103"/>
      <c r="I39" s="103"/>
      <c r="J39" s="103"/>
      <c r="K39" s="103"/>
    </row>
    <row r="40" spans="1:11" ht="11" thickBot="1">
      <c r="A40" s="102" t="s">
        <v>292</v>
      </c>
      <c r="B40" s="103"/>
      <c r="C40" s="103"/>
      <c r="D40" s="103"/>
      <c r="E40" s="103">
        <v>500</v>
      </c>
      <c r="F40" s="103">
        <v>2543</v>
      </c>
      <c r="G40" s="103">
        <v>2300</v>
      </c>
      <c r="H40" s="103">
        <v>2360</v>
      </c>
      <c r="I40" s="103"/>
      <c r="J40" s="103"/>
      <c r="K40" s="103"/>
    </row>
    <row r="41" spans="1:11" ht="11" thickBot="1">
      <c r="A41" s="102"/>
      <c r="B41" s="103"/>
      <c r="C41" s="103"/>
      <c r="D41" s="103"/>
      <c r="E41" s="103"/>
      <c r="F41" s="103"/>
      <c r="G41" s="103"/>
      <c r="H41" s="103"/>
      <c r="I41" s="103"/>
      <c r="J41" s="103"/>
      <c r="K41" s="103"/>
    </row>
    <row r="42" spans="1:11" ht="11" thickBot="1">
      <c r="A42" s="96" t="s">
        <v>212</v>
      </c>
      <c r="B42" s="97">
        <f t="shared" ref="B42:K42" si="6">SUM(B39:B41)</f>
        <v>600</v>
      </c>
      <c r="C42" s="97">
        <f t="shared" si="6"/>
        <v>0</v>
      </c>
      <c r="D42" s="97">
        <f t="shared" si="6"/>
        <v>0</v>
      </c>
      <c r="E42" s="97">
        <f t="shared" si="6"/>
        <v>500</v>
      </c>
      <c r="F42" s="97">
        <f t="shared" si="6"/>
        <v>2543</v>
      </c>
      <c r="G42" s="97">
        <f t="shared" si="6"/>
        <v>2300</v>
      </c>
      <c r="H42" s="97">
        <f t="shared" si="6"/>
        <v>2360</v>
      </c>
      <c r="I42" s="97">
        <f t="shared" si="6"/>
        <v>0</v>
      </c>
      <c r="J42" s="97">
        <f t="shared" si="6"/>
        <v>0</v>
      </c>
      <c r="K42" s="97">
        <f t="shared" si="6"/>
        <v>0</v>
      </c>
    </row>
    <row r="43" spans="1:11" ht="11" thickBot="1"/>
    <row r="44" spans="1:11" ht="11" thickBot="1">
      <c r="A44" s="92" t="s">
        <v>213</v>
      </c>
      <c r="B44" s="93"/>
      <c r="C44" s="93"/>
      <c r="D44" s="93"/>
      <c r="E44" s="93"/>
      <c r="F44" s="93"/>
      <c r="G44" s="93"/>
      <c r="H44" s="93"/>
      <c r="I44" s="93"/>
      <c r="J44" s="93"/>
      <c r="K44" s="93"/>
    </row>
    <row r="45" spans="1:11" ht="11" thickBot="1">
      <c r="A45" s="102" t="s">
        <v>293</v>
      </c>
      <c r="B45" s="103">
        <v>2295</v>
      </c>
      <c r="C45" s="103">
        <v>1885</v>
      </c>
      <c r="D45" s="103">
        <v>1458</v>
      </c>
      <c r="E45" s="103">
        <v>1213</v>
      </c>
      <c r="F45" s="103">
        <v>2153</v>
      </c>
      <c r="G45" s="103">
        <v>1927</v>
      </c>
      <c r="H45" s="103">
        <v>2195</v>
      </c>
      <c r="I45" s="103">
        <v>3060</v>
      </c>
      <c r="J45" s="103">
        <v>3959</v>
      </c>
      <c r="K45" s="103">
        <v>3265</v>
      </c>
    </row>
    <row r="46" spans="1:11" ht="11" thickBot="1">
      <c r="A46" s="102" t="s">
        <v>294</v>
      </c>
      <c r="B46" s="103"/>
      <c r="C46" s="103">
        <v>550</v>
      </c>
      <c r="D46" s="103"/>
      <c r="E46" s="103"/>
      <c r="F46" s="103"/>
      <c r="G46" s="103"/>
      <c r="H46" s="103"/>
      <c r="I46" s="103"/>
      <c r="J46" s="103"/>
      <c r="K46" s="103"/>
    </row>
    <row r="47" spans="1:11" ht="11" thickBot="1">
      <c r="A47" s="102"/>
      <c r="B47" s="103"/>
      <c r="C47" s="103"/>
      <c r="D47" s="103"/>
      <c r="E47" s="103"/>
      <c r="F47" s="103"/>
      <c r="G47" s="103"/>
      <c r="H47" s="103"/>
      <c r="I47" s="103"/>
      <c r="J47" s="103"/>
      <c r="K47" s="103"/>
    </row>
    <row r="48" spans="1:11" ht="11" thickBot="1">
      <c r="A48" s="96" t="s">
        <v>214</v>
      </c>
      <c r="B48" s="97">
        <f t="shared" ref="B48:K48" si="7">SUM(B45:B47)</f>
        <v>2295</v>
      </c>
      <c r="C48" s="97">
        <f t="shared" si="7"/>
        <v>2435</v>
      </c>
      <c r="D48" s="97">
        <f t="shared" si="7"/>
        <v>1458</v>
      </c>
      <c r="E48" s="97">
        <f t="shared" si="7"/>
        <v>1213</v>
      </c>
      <c r="F48" s="97">
        <f t="shared" si="7"/>
        <v>2153</v>
      </c>
      <c r="G48" s="97">
        <f t="shared" si="7"/>
        <v>1927</v>
      </c>
      <c r="H48" s="97">
        <f t="shared" si="7"/>
        <v>2195</v>
      </c>
      <c r="I48" s="97">
        <f t="shared" si="7"/>
        <v>3060</v>
      </c>
      <c r="J48" s="97">
        <f t="shared" si="7"/>
        <v>3959</v>
      </c>
      <c r="K48" s="97">
        <f t="shared" si="7"/>
        <v>3265</v>
      </c>
    </row>
    <row r="49" spans="1:11" ht="11" thickBot="1"/>
    <row r="50" spans="1:11" ht="11" thickBot="1">
      <c r="A50" s="96" t="s">
        <v>215</v>
      </c>
      <c r="B50" s="97">
        <f t="shared" ref="B50:K50" si="8">B36+B42+B48</f>
        <v>2895</v>
      </c>
      <c r="C50" s="97">
        <f t="shared" si="8"/>
        <v>2435</v>
      </c>
      <c r="D50" s="97">
        <f t="shared" si="8"/>
        <v>1458</v>
      </c>
      <c r="E50" s="97">
        <f t="shared" si="8"/>
        <v>1713</v>
      </c>
      <c r="F50" s="97">
        <f t="shared" si="8"/>
        <v>4696</v>
      </c>
      <c r="G50" s="97">
        <f t="shared" si="8"/>
        <v>4227</v>
      </c>
      <c r="H50" s="97">
        <f t="shared" si="8"/>
        <v>4555</v>
      </c>
      <c r="I50" s="97">
        <f t="shared" si="8"/>
        <v>3060</v>
      </c>
      <c r="J50" s="97">
        <f t="shared" si="8"/>
        <v>3959</v>
      </c>
      <c r="K50" s="97">
        <f t="shared" si="8"/>
        <v>3265</v>
      </c>
    </row>
    <row r="52" spans="1:11" ht="11" thickBot="1"/>
    <row r="53" spans="1:11" ht="11" thickBot="1">
      <c r="A53" s="89" t="s">
        <v>216</v>
      </c>
      <c r="B53" s="90" t="s">
        <v>19</v>
      </c>
      <c r="C53" s="90" t="s">
        <v>20</v>
      </c>
      <c r="D53" s="90" t="s">
        <v>21</v>
      </c>
      <c r="E53" s="90" t="s">
        <v>22</v>
      </c>
      <c r="F53" s="90" t="s">
        <v>23</v>
      </c>
      <c r="G53" s="90" t="s">
        <v>24</v>
      </c>
      <c r="H53" s="90" t="s">
        <v>25</v>
      </c>
      <c r="I53" s="90" t="s">
        <v>26</v>
      </c>
      <c r="J53" s="90" t="s">
        <v>27</v>
      </c>
      <c r="K53" s="90" t="s">
        <v>28</v>
      </c>
    </row>
    <row r="54" spans="1:11" ht="11" thickBot="1">
      <c r="A54" s="92" t="s">
        <v>209</v>
      </c>
      <c r="B54" s="93"/>
      <c r="C54" s="93"/>
      <c r="D54" s="93"/>
      <c r="E54" s="93"/>
      <c r="F54" s="93"/>
      <c r="G54" s="93"/>
      <c r="H54" s="93"/>
      <c r="I54" s="93"/>
      <c r="J54" s="93"/>
      <c r="K54" s="93"/>
    </row>
    <row r="55" spans="1:11" ht="11" thickBot="1">
      <c r="A55" s="102"/>
      <c r="B55" s="103"/>
      <c r="C55" s="103"/>
      <c r="D55" s="103"/>
      <c r="E55" s="103"/>
      <c r="F55" s="103"/>
      <c r="G55" s="103"/>
      <c r="H55" s="103"/>
      <c r="I55" s="103"/>
      <c r="J55" s="103"/>
      <c r="K55" s="103"/>
    </row>
    <row r="56" spans="1:11" ht="11" thickBot="1">
      <c r="A56" s="102"/>
      <c r="B56" s="103"/>
      <c r="C56" s="103"/>
      <c r="D56" s="103"/>
      <c r="E56" s="103"/>
      <c r="F56" s="103"/>
      <c r="G56" s="103"/>
      <c r="H56" s="103"/>
      <c r="I56" s="103"/>
      <c r="J56" s="103"/>
      <c r="K56" s="103"/>
    </row>
    <row r="57" spans="1:11" ht="11" thickBot="1">
      <c r="A57" s="102"/>
      <c r="B57" s="103"/>
      <c r="C57" s="103"/>
      <c r="D57" s="103"/>
      <c r="E57" s="103"/>
      <c r="F57" s="103"/>
      <c r="G57" s="103"/>
      <c r="H57" s="103"/>
      <c r="I57" s="103"/>
      <c r="J57" s="103"/>
      <c r="K57" s="103"/>
    </row>
    <row r="58" spans="1:11" ht="11" thickBot="1">
      <c r="A58" s="96" t="s">
        <v>210</v>
      </c>
      <c r="B58" s="97">
        <f t="shared" ref="B58:K58" si="9">SUM(B55:B57)</f>
        <v>0</v>
      </c>
      <c r="C58" s="97">
        <f t="shared" si="9"/>
        <v>0</v>
      </c>
      <c r="D58" s="97">
        <f t="shared" si="9"/>
        <v>0</v>
      </c>
      <c r="E58" s="97">
        <f t="shared" si="9"/>
        <v>0</v>
      </c>
      <c r="F58" s="97">
        <f t="shared" si="9"/>
        <v>0</v>
      </c>
      <c r="G58" s="97">
        <f t="shared" si="9"/>
        <v>0</v>
      </c>
      <c r="H58" s="97">
        <f t="shared" si="9"/>
        <v>0</v>
      </c>
      <c r="I58" s="97">
        <f t="shared" si="9"/>
        <v>0</v>
      </c>
      <c r="J58" s="97">
        <f t="shared" si="9"/>
        <v>0</v>
      </c>
      <c r="K58" s="97">
        <f t="shared" si="9"/>
        <v>0</v>
      </c>
    </row>
    <row r="59" spans="1:11" ht="11" thickBot="1"/>
    <row r="60" spans="1:11" ht="11" thickBot="1">
      <c r="A60" s="92" t="s">
        <v>211</v>
      </c>
      <c r="B60" s="93"/>
      <c r="C60" s="93"/>
      <c r="D60" s="93"/>
      <c r="E60" s="93"/>
      <c r="F60" s="93"/>
      <c r="G60" s="93"/>
      <c r="H60" s="93"/>
      <c r="I60" s="93"/>
      <c r="J60" s="93"/>
      <c r="K60" s="93"/>
    </row>
    <row r="61" spans="1:11" ht="11" thickBot="1">
      <c r="A61" s="102"/>
      <c r="B61" s="103"/>
      <c r="C61" s="103"/>
      <c r="D61" s="103"/>
      <c r="E61" s="103"/>
      <c r="F61" s="103"/>
      <c r="G61" s="103"/>
      <c r="H61" s="103"/>
      <c r="I61" s="103"/>
      <c r="J61" s="103"/>
      <c r="K61" s="103"/>
    </row>
    <row r="62" spans="1:11" ht="11" thickBot="1">
      <c r="A62" s="102"/>
      <c r="B62" s="103"/>
      <c r="C62" s="103"/>
      <c r="D62" s="103"/>
      <c r="E62" s="103"/>
      <c r="F62" s="103"/>
      <c r="G62" s="103"/>
      <c r="H62" s="103"/>
      <c r="I62" s="103"/>
      <c r="J62" s="103"/>
      <c r="K62" s="103"/>
    </row>
    <row r="63" spans="1:11" ht="11" thickBot="1">
      <c r="A63" s="102"/>
      <c r="B63" s="103"/>
      <c r="C63" s="103"/>
      <c r="D63" s="103"/>
      <c r="E63" s="103"/>
      <c r="F63" s="103"/>
      <c r="G63" s="103"/>
      <c r="H63" s="103"/>
      <c r="I63" s="103"/>
      <c r="J63" s="103"/>
      <c r="K63" s="103"/>
    </row>
    <row r="64" spans="1:11" ht="11" thickBot="1">
      <c r="A64" s="96" t="s">
        <v>212</v>
      </c>
      <c r="B64" s="97">
        <f t="shared" ref="B64:K64" si="10">SUM(B61:B63)</f>
        <v>0</v>
      </c>
      <c r="C64" s="97">
        <f t="shared" si="10"/>
        <v>0</v>
      </c>
      <c r="D64" s="97">
        <f t="shared" si="10"/>
        <v>0</v>
      </c>
      <c r="E64" s="97">
        <f t="shared" si="10"/>
        <v>0</v>
      </c>
      <c r="F64" s="97">
        <f t="shared" si="10"/>
        <v>0</v>
      </c>
      <c r="G64" s="97">
        <f t="shared" si="10"/>
        <v>0</v>
      </c>
      <c r="H64" s="97">
        <f t="shared" si="10"/>
        <v>0</v>
      </c>
      <c r="I64" s="97">
        <f t="shared" si="10"/>
        <v>0</v>
      </c>
      <c r="J64" s="97">
        <f t="shared" si="10"/>
        <v>0</v>
      </c>
      <c r="K64" s="97">
        <f t="shared" si="10"/>
        <v>0</v>
      </c>
    </row>
    <row r="65" spans="1:11" ht="11" thickBot="1"/>
    <row r="66" spans="1:11" ht="11" thickBot="1">
      <c r="A66" s="92" t="s">
        <v>213</v>
      </c>
      <c r="B66" s="93"/>
      <c r="C66" s="93"/>
      <c r="D66" s="93"/>
      <c r="E66" s="93"/>
      <c r="F66" s="93"/>
      <c r="G66" s="93"/>
      <c r="H66" s="93"/>
      <c r="I66" s="93"/>
      <c r="J66" s="93"/>
      <c r="K66" s="93"/>
    </row>
    <row r="67" spans="1:11" ht="11" thickBot="1">
      <c r="A67" s="102" t="s">
        <v>293</v>
      </c>
      <c r="B67" s="103">
        <v>1290</v>
      </c>
      <c r="C67" s="103">
        <v>1350</v>
      </c>
      <c r="D67" s="103">
        <v>1413</v>
      </c>
      <c r="E67" s="103">
        <v>3736</v>
      </c>
      <c r="F67" s="103">
        <v>2862</v>
      </c>
      <c r="G67" s="103">
        <v>3058</v>
      </c>
      <c r="H67" s="103">
        <v>3293</v>
      </c>
      <c r="I67" s="103">
        <v>2980</v>
      </c>
      <c r="J67" s="103">
        <v>1996</v>
      </c>
      <c r="K67" s="103">
        <v>2817</v>
      </c>
    </row>
    <row r="68" spans="1:11" ht="11" thickBot="1">
      <c r="A68" s="102" t="s">
        <v>295</v>
      </c>
      <c r="B68" s="103">
        <v>500</v>
      </c>
      <c r="C68" s="103">
        <v>2750</v>
      </c>
      <c r="D68" s="103">
        <v>3210</v>
      </c>
      <c r="E68" s="103"/>
      <c r="F68" s="103"/>
      <c r="G68" s="103"/>
      <c r="H68" s="103"/>
      <c r="I68" s="103"/>
      <c r="J68" s="103"/>
      <c r="K68" s="103"/>
    </row>
    <row r="69" spans="1:11" ht="11" thickBot="1">
      <c r="A69" s="102"/>
      <c r="B69" s="103"/>
      <c r="C69" s="103"/>
      <c r="D69" s="103"/>
      <c r="E69" s="103"/>
      <c r="F69" s="103"/>
      <c r="G69" s="103"/>
      <c r="H69" s="103"/>
      <c r="I69" s="103"/>
      <c r="J69" s="103"/>
      <c r="K69" s="103"/>
    </row>
    <row r="70" spans="1:11" ht="11" thickBot="1">
      <c r="A70" s="96" t="s">
        <v>214</v>
      </c>
      <c r="B70" s="97">
        <f t="shared" ref="B70:K70" si="11">SUM(B67:B69)</f>
        <v>1790</v>
      </c>
      <c r="C70" s="97">
        <f t="shared" si="11"/>
        <v>4100</v>
      </c>
      <c r="D70" s="97">
        <f t="shared" si="11"/>
        <v>4623</v>
      </c>
      <c r="E70" s="97">
        <f t="shared" si="11"/>
        <v>3736</v>
      </c>
      <c r="F70" s="97">
        <f t="shared" si="11"/>
        <v>2862</v>
      </c>
      <c r="G70" s="97">
        <f t="shared" si="11"/>
        <v>3058</v>
      </c>
      <c r="H70" s="97">
        <f t="shared" si="11"/>
        <v>3293</v>
      </c>
      <c r="I70" s="97">
        <f t="shared" si="11"/>
        <v>2980</v>
      </c>
      <c r="J70" s="97">
        <f t="shared" si="11"/>
        <v>1996</v>
      </c>
      <c r="K70" s="97">
        <f t="shared" si="11"/>
        <v>2817</v>
      </c>
    </row>
    <row r="71" spans="1:11" ht="11" thickBot="1"/>
    <row r="72" spans="1:11" ht="11" thickBot="1">
      <c r="A72" s="96" t="s">
        <v>217</v>
      </c>
      <c r="B72" s="97">
        <f t="shared" ref="B72:K72" si="12">B58+B64+B70</f>
        <v>1790</v>
      </c>
      <c r="C72" s="97">
        <f t="shared" si="12"/>
        <v>4100</v>
      </c>
      <c r="D72" s="97">
        <f t="shared" si="12"/>
        <v>4623</v>
      </c>
      <c r="E72" s="97">
        <f t="shared" si="12"/>
        <v>3736</v>
      </c>
      <c r="F72" s="97">
        <f t="shared" si="12"/>
        <v>2862</v>
      </c>
      <c r="G72" s="97">
        <f t="shared" si="12"/>
        <v>3058</v>
      </c>
      <c r="H72" s="97">
        <f t="shared" si="12"/>
        <v>3293</v>
      </c>
      <c r="I72" s="97">
        <f t="shared" si="12"/>
        <v>2980</v>
      </c>
      <c r="J72" s="97">
        <f t="shared" si="12"/>
        <v>1996</v>
      </c>
      <c r="K72" s="97">
        <f t="shared" si="12"/>
        <v>2817</v>
      </c>
    </row>
    <row r="74" spans="1:11" ht="11" thickBot="1"/>
    <row r="75" spans="1:11" ht="11" thickBot="1">
      <c r="A75" s="89" t="s">
        <v>218</v>
      </c>
      <c r="B75" s="90" t="s">
        <v>19</v>
      </c>
      <c r="C75" s="90" t="s">
        <v>20</v>
      </c>
      <c r="D75" s="90" t="s">
        <v>21</v>
      </c>
      <c r="E75" s="90" t="s">
        <v>22</v>
      </c>
      <c r="F75" s="90" t="s">
        <v>23</v>
      </c>
      <c r="G75" s="90" t="s">
        <v>24</v>
      </c>
      <c r="H75" s="90" t="s">
        <v>25</v>
      </c>
      <c r="I75" s="90" t="s">
        <v>26</v>
      </c>
      <c r="J75" s="90" t="s">
        <v>27</v>
      </c>
      <c r="K75" s="90" t="s">
        <v>28</v>
      </c>
    </row>
    <row r="76" spans="1:11" ht="11" thickBot="1">
      <c r="A76" s="92" t="s">
        <v>209</v>
      </c>
      <c r="B76" s="93"/>
      <c r="C76" s="93"/>
      <c r="D76" s="93"/>
      <c r="E76" s="93"/>
      <c r="F76" s="93"/>
      <c r="G76" s="93"/>
      <c r="H76" s="93"/>
      <c r="I76" s="93"/>
      <c r="J76" s="93"/>
      <c r="K76" s="93"/>
    </row>
    <row r="77" spans="1:11" ht="11" thickBot="1">
      <c r="A77" s="102"/>
      <c r="B77" s="103"/>
      <c r="C77" s="103"/>
      <c r="D77" s="103"/>
      <c r="E77" s="103"/>
      <c r="F77" s="103"/>
      <c r="G77" s="103"/>
      <c r="H77" s="103"/>
      <c r="I77" s="103"/>
      <c r="J77" s="103"/>
      <c r="K77" s="103"/>
    </row>
    <row r="78" spans="1:11" ht="11" thickBot="1">
      <c r="A78" s="102"/>
      <c r="B78" s="103"/>
      <c r="C78" s="103"/>
      <c r="D78" s="103"/>
      <c r="E78" s="103"/>
      <c r="F78" s="103"/>
      <c r="G78" s="103"/>
      <c r="H78" s="103"/>
      <c r="I78" s="103"/>
      <c r="J78" s="103"/>
      <c r="K78" s="103"/>
    </row>
    <row r="79" spans="1:11" ht="11" thickBot="1">
      <c r="A79" s="102"/>
      <c r="B79" s="103"/>
      <c r="C79" s="103"/>
      <c r="D79" s="103"/>
      <c r="E79" s="103"/>
      <c r="F79" s="103"/>
      <c r="G79" s="103"/>
      <c r="H79" s="103"/>
      <c r="I79" s="103"/>
      <c r="J79" s="103"/>
      <c r="K79" s="103"/>
    </row>
    <row r="80" spans="1:11" ht="11" thickBot="1">
      <c r="A80" s="96" t="s">
        <v>210</v>
      </c>
      <c r="B80" s="97">
        <f t="shared" ref="B80:K80" si="13">SUM(B77:B79)</f>
        <v>0</v>
      </c>
      <c r="C80" s="97">
        <f t="shared" si="13"/>
        <v>0</v>
      </c>
      <c r="D80" s="97">
        <f t="shared" si="13"/>
        <v>0</v>
      </c>
      <c r="E80" s="97">
        <f t="shared" si="13"/>
        <v>0</v>
      </c>
      <c r="F80" s="97">
        <f t="shared" si="13"/>
        <v>0</v>
      </c>
      <c r="G80" s="97">
        <f t="shared" si="13"/>
        <v>0</v>
      </c>
      <c r="H80" s="97">
        <f t="shared" si="13"/>
        <v>0</v>
      </c>
      <c r="I80" s="97">
        <f t="shared" si="13"/>
        <v>0</v>
      </c>
      <c r="J80" s="97">
        <f t="shared" si="13"/>
        <v>0</v>
      </c>
      <c r="K80" s="97">
        <f t="shared" si="13"/>
        <v>0</v>
      </c>
    </row>
    <row r="81" spans="1:11" ht="11" thickBot="1"/>
    <row r="82" spans="1:11" ht="11" thickBot="1">
      <c r="A82" s="92" t="s">
        <v>211</v>
      </c>
      <c r="B82" s="93"/>
      <c r="C82" s="93"/>
      <c r="D82" s="93"/>
      <c r="E82" s="93"/>
      <c r="F82" s="93"/>
      <c r="G82" s="93"/>
      <c r="H82" s="93"/>
      <c r="I82" s="93"/>
      <c r="J82" s="93"/>
      <c r="K82" s="93"/>
    </row>
    <row r="83" spans="1:11" ht="11" thickBot="1">
      <c r="A83" s="102"/>
      <c r="B83" s="103"/>
      <c r="C83" s="103"/>
      <c r="D83" s="103"/>
      <c r="E83" s="103"/>
      <c r="F83" s="103"/>
      <c r="G83" s="103"/>
      <c r="H83" s="103"/>
      <c r="I83" s="103"/>
      <c r="J83" s="103"/>
      <c r="K83" s="103"/>
    </row>
    <row r="84" spans="1:11" ht="11" thickBot="1">
      <c r="A84" s="102"/>
      <c r="B84" s="103"/>
      <c r="C84" s="103"/>
      <c r="D84" s="103"/>
      <c r="E84" s="103"/>
      <c r="F84" s="103"/>
      <c r="G84" s="103"/>
      <c r="H84" s="103"/>
      <c r="I84" s="103"/>
      <c r="J84" s="103"/>
      <c r="K84" s="103"/>
    </row>
    <row r="85" spans="1:11" ht="11" thickBot="1">
      <c r="A85" s="102"/>
      <c r="B85" s="103"/>
      <c r="C85" s="103"/>
      <c r="D85" s="103"/>
      <c r="E85" s="103"/>
      <c r="F85" s="103"/>
      <c r="G85" s="103"/>
      <c r="H85" s="103"/>
      <c r="I85" s="103"/>
      <c r="J85" s="103"/>
      <c r="K85" s="103"/>
    </row>
    <row r="86" spans="1:11" ht="11" thickBot="1">
      <c r="A86" s="96" t="s">
        <v>212</v>
      </c>
      <c r="B86" s="97">
        <f t="shared" ref="B86:K86" si="14">SUM(B83:B85)</f>
        <v>0</v>
      </c>
      <c r="C86" s="97">
        <f t="shared" si="14"/>
        <v>0</v>
      </c>
      <c r="D86" s="97">
        <f t="shared" si="14"/>
        <v>0</v>
      </c>
      <c r="E86" s="97">
        <f t="shared" si="14"/>
        <v>0</v>
      </c>
      <c r="F86" s="97">
        <f t="shared" si="14"/>
        <v>0</v>
      </c>
      <c r="G86" s="97">
        <f t="shared" si="14"/>
        <v>0</v>
      </c>
      <c r="H86" s="97">
        <f t="shared" si="14"/>
        <v>0</v>
      </c>
      <c r="I86" s="97">
        <f t="shared" si="14"/>
        <v>0</v>
      </c>
      <c r="J86" s="97">
        <f t="shared" si="14"/>
        <v>0</v>
      </c>
      <c r="K86" s="97">
        <f t="shared" si="14"/>
        <v>0</v>
      </c>
    </row>
    <row r="87" spans="1:11" ht="11" thickBot="1"/>
    <row r="88" spans="1:11" ht="11" thickBot="1">
      <c r="A88" s="92" t="s">
        <v>213</v>
      </c>
      <c r="B88" s="93"/>
      <c r="C88" s="93"/>
      <c r="D88" s="93"/>
      <c r="E88" s="93"/>
      <c r="F88" s="93"/>
      <c r="G88" s="93"/>
      <c r="H88" s="93"/>
      <c r="I88" s="93"/>
      <c r="J88" s="93"/>
      <c r="K88" s="93"/>
    </row>
    <row r="89" spans="1:11" ht="11" thickBot="1">
      <c r="A89" s="102" t="s">
        <v>296</v>
      </c>
      <c r="B89" s="103"/>
      <c r="C89" s="103"/>
      <c r="D89" s="103">
        <v>321</v>
      </c>
      <c r="E89" s="103"/>
      <c r="F89" s="103"/>
      <c r="G89" s="103"/>
      <c r="H89" s="103"/>
      <c r="I89" s="103"/>
      <c r="J89" s="103"/>
      <c r="K89" s="103"/>
    </row>
    <row r="90" spans="1:11" ht="11" thickBot="1">
      <c r="A90" s="102"/>
      <c r="B90" s="103"/>
      <c r="C90" s="103"/>
      <c r="D90" s="103"/>
      <c r="E90" s="103"/>
      <c r="F90" s="103"/>
      <c r="G90" s="103"/>
      <c r="H90" s="103"/>
      <c r="I90" s="103"/>
      <c r="J90" s="103"/>
      <c r="K90" s="103"/>
    </row>
    <row r="91" spans="1:11" ht="11" thickBot="1">
      <c r="A91" s="102"/>
      <c r="B91" s="103"/>
      <c r="C91" s="103"/>
      <c r="D91" s="103"/>
      <c r="E91" s="103"/>
      <c r="F91" s="103"/>
      <c r="G91" s="103"/>
      <c r="H91" s="103"/>
      <c r="I91" s="103"/>
      <c r="J91" s="103"/>
      <c r="K91" s="103"/>
    </row>
    <row r="92" spans="1:11" ht="11" thickBot="1">
      <c r="A92" s="96" t="s">
        <v>214</v>
      </c>
      <c r="B92" s="97">
        <f t="shared" ref="B92:K92" si="15">SUM(B89:B91)</f>
        <v>0</v>
      </c>
      <c r="C92" s="97">
        <f t="shared" si="15"/>
        <v>0</v>
      </c>
      <c r="D92" s="97">
        <f t="shared" si="15"/>
        <v>321</v>
      </c>
      <c r="E92" s="97">
        <f t="shared" si="15"/>
        <v>0</v>
      </c>
      <c r="F92" s="97">
        <f t="shared" si="15"/>
        <v>0</v>
      </c>
      <c r="G92" s="97">
        <f t="shared" si="15"/>
        <v>0</v>
      </c>
      <c r="H92" s="97">
        <f t="shared" si="15"/>
        <v>0</v>
      </c>
      <c r="I92" s="97">
        <f t="shared" si="15"/>
        <v>0</v>
      </c>
      <c r="J92" s="97">
        <f t="shared" si="15"/>
        <v>0</v>
      </c>
      <c r="K92" s="97">
        <f t="shared" si="15"/>
        <v>0</v>
      </c>
    </row>
    <row r="93" spans="1:11" ht="11" thickBot="1"/>
    <row r="94" spans="1:11" ht="11" thickBot="1">
      <c r="A94" s="96" t="s">
        <v>219</v>
      </c>
      <c r="B94" s="97">
        <f t="shared" ref="B94:K94" si="16">B80+B86+B92</f>
        <v>0</v>
      </c>
      <c r="C94" s="97">
        <f t="shared" si="16"/>
        <v>0</v>
      </c>
      <c r="D94" s="97">
        <f t="shared" si="16"/>
        <v>321</v>
      </c>
      <c r="E94" s="97">
        <f t="shared" si="16"/>
        <v>0</v>
      </c>
      <c r="F94" s="97">
        <f t="shared" si="16"/>
        <v>0</v>
      </c>
      <c r="G94" s="97">
        <f t="shared" si="16"/>
        <v>0</v>
      </c>
      <c r="H94" s="97">
        <f t="shared" si="16"/>
        <v>0</v>
      </c>
      <c r="I94" s="97">
        <f t="shared" si="16"/>
        <v>0</v>
      </c>
      <c r="J94" s="97">
        <f t="shared" si="16"/>
        <v>0</v>
      </c>
      <c r="K94" s="97">
        <f t="shared" si="16"/>
        <v>0</v>
      </c>
    </row>
  </sheetData>
  <mergeCells count="2">
    <mergeCell ref="B24:E24"/>
    <mergeCell ref="F24:I24"/>
  </mergeCells>
  <pageMargins left="0.7" right="0.7" top="0.75" bottom="0.75" header="0.3" footer="0.3"/>
  <pageSetup paperSize="9" scale="7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6920-8A81-41FA-8AC5-80002249BE4F}">
  <sheetPr codeName="Sheet29">
    <pageSetUpPr fitToPage="1"/>
  </sheetPr>
  <dimension ref="A1:P98"/>
  <sheetViews>
    <sheetView topLeftCell="A67" zoomScale="66" zoomScaleNormal="100" workbookViewId="0">
      <selection activeCell="A110" sqref="A110"/>
    </sheetView>
  </sheetViews>
  <sheetFormatPr defaultColWidth="6.6328125" defaultRowHeight="10.5"/>
  <cols>
    <col min="1" max="1" width="67.6328125" style="1" customWidth="1"/>
    <col min="2" max="2" width="1.54296875" style="1" customWidth="1"/>
    <col min="3" max="3" width="14.1796875" style="1" customWidth="1"/>
    <col min="4" max="4" width="1.90625" style="1" customWidth="1"/>
    <col min="5" max="16" width="14.1796875" style="1" customWidth="1"/>
    <col min="17" max="26" width="9.453125" style="1" customWidth="1"/>
    <col min="27" max="16384" width="6.6328125" style="1"/>
  </cols>
  <sheetData>
    <row r="1" spans="1:16" ht="11" thickBot="1">
      <c r="A1" s="104" t="s">
        <v>220</v>
      </c>
      <c r="B1" s="91"/>
      <c r="C1" s="91" t="s">
        <v>29</v>
      </c>
      <c r="D1" s="91"/>
      <c r="E1" s="91" t="s">
        <v>19</v>
      </c>
      <c r="F1" s="91" t="s">
        <v>20</v>
      </c>
      <c r="G1" s="91" t="s">
        <v>21</v>
      </c>
      <c r="H1" s="91" t="s">
        <v>22</v>
      </c>
      <c r="I1" s="91" t="s">
        <v>23</v>
      </c>
      <c r="J1" s="91" t="s">
        <v>24</v>
      </c>
      <c r="K1" s="91" t="s">
        <v>25</v>
      </c>
      <c r="L1" s="91" t="s">
        <v>26</v>
      </c>
      <c r="M1" s="91" t="s">
        <v>27</v>
      </c>
      <c r="N1" s="91" t="s">
        <v>28</v>
      </c>
      <c r="O1" s="105"/>
      <c r="P1" s="91" t="s">
        <v>159</v>
      </c>
    </row>
    <row r="2" spans="1:16" ht="11" thickBot="1">
      <c r="A2" s="106" t="s">
        <v>221</v>
      </c>
      <c r="C2" s="4"/>
      <c r="E2" s="4"/>
      <c r="F2" s="4"/>
      <c r="G2" s="4"/>
      <c r="H2" s="4"/>
      <c r="I2" s="4"/>
      <c r="J2" s="4"/>
      <c r="K2" s="4"/>
      <c r="L2" s="4"/>
      <c r="M2" s="4"/>
      <c r="N2" s="4"/>
      <c r="O2" s="105"/>
      <c r="P2" s="4"/>
    </row>
    <row r="3" spans="1:16" ht="11" thickBot="1">
      <c r="A3" s="5" t="s">
        <v>222</v>
      </c>
      <c r="C3" s="61">
        <f>'5. Financials - drinking water'!C3+'6. Financials - wastewater'!C3+'7. Financials - stormwater'!C3</f>
        <v>594</v>
      </c>
      <c r="E3" s="61">
        <f>'5. Financials - drinking water'!E3+'6. Financials - wastewater'!E3+'7. Financials - stormwater'!E3</f>
        <v>376</v>
      </c>
      <c r="F3" s="61">
        <f>'5. Financials - drinking water'!F3+'6. Financials - wastewater'!F3+'7. Financials - stormwater'!F3</f>
        <v>493</v>
      </c>
      <c r="G3" s="61">
        <f>'5. Financials - drinking water'!G3+'6. Financials - wastewater'!G3+'7. Financials - stormwater'!G3</f>
        <v>580</v>
      </c>
      <c r="H3" s="61">
        <f>'5. Financials - drinking water'!H3+'6. Financials - wastewater'!H3+'7. Financials - stormwater'!H3</f>
        <v>623</v>
      </c>
      <c r="I3" s="61">
        <f>'5. Financials - drinking water'!I3+'6. Financials - wastewater'!I3+'7. Financials - stormwater'!I3</f>
        <v>661</v>
      </c>
      <c r="J3" s="61">
        <f>'5. Financials - drinking water'!J3+'6. Financials - wastewater'!J3+'7. Financials - stormwater'!J3</f>
        <v>695</v>
      </c>
      <c r="K3" s="61">
        <f>'5. Financials - drinking water'!K3+'6. Financials - wastewater'!K3+'7. Financials - stormwater'!K3</f>
        <v>741</v>
      </c>
      <c r="L3" s="61">
        <f>'5. Financials - drinking water'!L3+'6. Financials - wastewater'!L3+'7. Financials - stormwater'!L3</f>
        <v>758</v>
      </c>
      <c r="M3" s="61">
        <f>'5. Financials - drinking water'!M3+'6. Financials - wastewater'!M3+'7. Financials - stormwater'!M3</f>
        <v>764</v>
      </c>
      <c r="N3" s="61">
        <f>'5. Financials - drinking water'!N3+'6. Financials - wastewater'!N3+'7. Financials - stormwater'!N3</f>
        <v>790</v>
      </c>
      <c r="P3" s="107">
        <f>SUM(E3:N3)</f>
        <v>6481</v>
      </c>
    </row>
    <row r="4" spans="1:16" ht="11" thickBot="1">
      <c r="A4" s="5" t="s">
        <v>223</v>
      </c>
      <c r="C4" s="61">
        <f>'5. Financials - drinking water'!C4+'6. Financials - wastewater'!C4+'7. Financials - stormwater'!C4</f>
        <v>5648</v>
      </c>
      <c r="E4" s="61">
        <f>'5. Financials - drinking water'!E4+'6. Financials - wastewater'!E4+'7. Financials - stormwater'!E4</f>
        <v>5716</v>
      </c>
      <c r="F4" s="61">
        <f>'5. Financials - drinking water'!F4+'6. Financials - wastewater'!F4+'7. Financials - stormwater'!F4</f>
        <v>7235</v>
      </c>
      <c r="G4" s="61">
        <f>'5. Financials - drinking water'!G4+'6. Financials - wastewater'!G4+'7. Financials - stormwater'!G4</f>
        <v>8299</v>
      </c>
      <c r="H4" s="61">
        <f>'5. Financials - drinking water'!H4+'6. Financials - wastewater'!H4+'7. Financials - stormwater'!H4</f>
        <v>9087.9157012504511</v>
      </c>
      <c r="I4" s="61">
        <f>'5. Financials - drinking water'!I4+'6. Financials - wastewater'!I4+'7. Financials - stormwater'!I4</f>
        <v>9734.591545798281</v>
      </c>
      <c r="J4" s="61">
        <f>'5. Financials - drinking water'!J4+'6. Financials - wastewater'!J4+'7. Financials - stormwater'!J4</f>
        <v>10428.135858249638</v>
      </c>
      <c r="K4" s="61">
        <f>'5. Financials - drinking water'!K4+'6. Financials - wastewater'!K4+'7. Financials - stormwater'!K4</f>
        <v>11069.338625423343</v>
      </c>
      <c r="L4" s="61">
        <f>'5. Financials - drinking water'!L4+'6. Financials - wastewater'!L4+'7. Financials - stormwater'!L4</f>
        <v>11272.41699699237</v>
      </c>
      <c r="M4" s="61">
        <f>'5. Financials - drinking water'!M4+'6. Financials - wastewater'!M4+'7. Financials - stormwater'!M4</f>
        <v>11591.677526317335</v>
      </c>
      <c r="N4" s="61">
        <f>'5. Financials - drinking water'!N4+'6. Financials - wastewater'!N4+'7. Financials - stormwater'!N4</f>
        <v>11779.779545789024</v>
      </c>
      <c r="P4" s="107">
        <f>SUM(E4:N4)</f>
        <v>96213.855799820449</v>
      </c>
    </row>
    <row r="5" spans="1:16" ht="11" thickBot="1">
      <c r="A5" s="5" t="s">
        <v>224</v>
      </c>
      <c r="C5" s="61">
        <f>'5. Financials - drinking water'!C5+'6. Financials - wastewater'!C5+'7. Financials - stormwater'!C5</f>
        <v>0</v>
      </c>
      <c r="E5" s="61">
        <f>'5. Financials - drinking water'!E5+'6. Financials - wastewater'!E5+'7. Financials - stormwater'!E5</f>
        <v>230</v>
      </c>
      <c r="F5" s="61">
        <f>'5. Financials - drinking water'!F5+'6. Financials - wastewater'!F5+'7. Financials - stormwater'!F5</f>
        <v>0</v>
      </c>
      <c r="G5" s="61">
        <f>'5. Financials - drinking water'!G5+'6. Financials - wastewater'!G5+'7. Financials - stormwater'!G5</f>
        <v>0</v>
      </c>
      <c r="H5" s="61">
        <f>'5. Financials - drinking water'!H5+'6. Financials - wastewater'!H5+'7. Financials - stormwater'!H5</f>
        <v>0</v>
      </c>
      <c r="I5" s="61">
        <f>'5. Financials - drinking water'!I5+'6. Financials - wastewater'!I5+'7. Financials - stormwater'!I5</f>
        <v>0</v>
      </c>
      <c r="J5" s="61">
        <f>'5. Financials - drinking water'!J5+'6. Financials - wastewater'!J5+'7. Financials - stormwater'!J5</f>
        <v>0</v>
      </c>
      <c r="K5" s="61">
        <f>'5. Financials - drinking water'!K5+'6. Financials - wastewater'!K5+'7. Financials - stormwater'!K5</f>
        <v>0</v>
      </c>
      <c r="L5" s="61">
        <f>'5. Financials - drinking water'!L5+'6. Financials - wastewater'!L5+'7. Financials - stormwater'!L5</f>
        <v>0</v>
      </c>
      <c r="M5" s="61">
        <f>'5. Financials - drinking water'!M5+'6. Financials - wastewater'!M5+'7. Financials - stormwater'!M5</f>
        <v>0</v>
      </c>
      <c r="N5" s="61">
        <f>'5. Financials - drinking water'!N5+'6. Financials - wastewater'!N5+'7. Financials - stormwater'!N5</f>
        <v>0</v>
      </c>
      <c r="P5" s="107">
        <f>SUM(E5:N5)</f>
        <v>230</v>
      </c>
    </row>
    <row r="6" spans="1:16" ht="11" thickBot="1">
      <c r="A6" s="5" t="s">
        <v>225</v>
      </c>
      <c r="C6" s="61">
        <f>'5. Financials - drinking water'!C6+'6. Financials - wastewater'!C6+'7. Financials - stormwater'!C6</f>
        <v>36</v>
      </c>
      <c r="E6" s="61">
        <f>'5. Financials - drinking water'!E6+'6. Financials - wastewater'!E6+'7. Financials - stormwater'!E6</f>
        <v>0</v>
      </c>
      <c r="F6" s="61">
        <f>'5. Financials - drinking water'!F6+'6. Financials - wastewater'!F6+'7. Financials - stormwater'!F6</f>
        <v>0</v>
      </c>
      <c r="G6" s="61">
        <f>'5. Financials - drinking water'!G6+'6. Financials - wastewater'!G6+'7. Financials - stormwater'!G6</f>
        <v>0</v>
      </c>
      <c r="H6" s="61">
        <f>'5. Financials - drinking water'!H6+'6. Financials - wastewater'!H6+'7. Financials - stormwater'!H6</f>
        <v>0</v>
      </c>
      <c r="I6" s="61">
        <f>'5. Financials - drinking water'!I6+'6. Financials - wastewater'!I6+'7. Financials - stormwater'!I6</f>
        <v>0</v>
      </c>
      <c r="J6" s="61">
        <f>'5. Financials - drinking water'!J6+'6. Financials - wastewater'!J6+'7. Financials - stormwater'!J6</f>
        <v>0</v>
      </c>
      <c r="K6" s="61">
        <f>'5. Financials - drinking water'!K6+'6. Financials - wastewater'!K6+'7. Financials - stormwater'!K6</f>
        <v>0</v>
      </c>
      <c r="L6" s="61">
        <f>'5. Financials - drinking water'!L6+'6. Financials - wastewater'!L6+'7. Financials - stormwater'!L6</f>
        <v>0</v>
      </c>
      <c r="M6" s="61">
        <f>'5. Financials - drinking water'!M6+'6. Financials - wastewater'!M6+'7. Financials - stormwater'!M6</f>
        <v>0</v>
      </c>
      <c r="N6" s="61">
        <f>'5. Financials - drinking water'!N6+'6. Financials - wastewater'!N6+'7. Financials - stormwater'!N6</f>
        <v>0</v>
      </c>
      <c r="P6" s="107">
        <f>SUM(E6:N6)</f>
        <v>0</v>
      </c>
    </row>
    <row r="7" spans="1:16" ht="11" thickBot="1">
      <c r="A7" s="5" t="s">
        <v>226</v>
      </c>
      <c r="C7" s="61">
        <f>'5. Financials - drinking water'!C7+'6. Financials - wastewater'!C7+'7. Financials - stormwater'!C7</f>
        <v>449</v>
      </c>
      <c r="E7" s="61">
        <f>'5. Financials - drinking water'!E7+'6. Financials - wastewater'!E7+'7. Financials - stormwater'!E7</f>
        <v>558</v>
      </c>
      <c r="F7" s="61">
        <f>'5. Financials - drinking water'!F7+'6. Financials - wastewater'!F7+'7. Financials - stormwater'!F7</f>
        <v>576</v>
      </c>
      <c r="G7" s="61">
        <f>'5. Financials - drinking water'!G7+'6. Financials - wastewater'!G7+'7. Financials - stormwater'!G7</f>
        <v>595</v>
      </c>
      <c r="H7" s="61">
        <f>'5. Financials - drinking water'!H7+'6. Financials - wastewater'!H7+'7. Financials - stormwater'!H7</f>
        <v>612</v>
      </c>
      <c r="I7" s="61">
        <f>'5. Financials - drinking water'!I7+'6. Financials - wastewater'!I7+'7. Financials - stormwater'!I7</f>
        <v>629</v>
      </c>
      <c r="J7" s="61">
        <f>'5. Financials - drinking water'!J7+'6. Financials - wastewater'!J7+'7. Financials - stormwater'!J7</f>
        <v>645</v>
      </c>
      <c r="K7" s="61">
        <f>'5. Financials - drinking water'!K7+'6. Financials - wastewater'!K7+'7. Financials - stormwater'!K7</f>
        <v>662</v>
      </c>
      <c r="L7" s="61">
        <f>'5. Financials - drinking water'!L7+'6. Financials - wastewater'!L7+'7. Financials - stormwater'!L7</f>
        <v>678</v>
      </c>
      <c r="M7" s="61">
        <f>'5. Financials - drinking water'!M7+'6. Financials - wastewater'!M7+'7. Financials - stormwater'!M7</f>
        <v>695</v>
      </c>
      <c r="N7" s="61">
        <f>'5. Financials - drinking water'!N7+'6. Financials - wastewater'!N7+'7. Financials - stormwater'!N7</f>
        <v>710</v>
      </c>
      <c r="P7" s="107">
        <f>SUM(E7:N7)</f>
        <v>6360</v>
      </c>
    </row>
    <row r="8" spans="1:16" ht="11" thickBot="1">
      <c r="A8" s="108" t="s">
        <v>227</v>
      </c>
      <c r="C8" s="12">
        <f>SUM(C3:C7)</f>
        <v>6727</v>
      </c>
      <c r="E8" s="12">
        <f t="shared" ref="E8:N8" si="0">SUM(E3:E7)</f>
        <v>6880</v>
      </c>
      <c r="F8" s="12">
        <f t="shared" si="0"/>
        <v>8304</v>
      </c>
      <c r="G8" s="12">
        <f t="shared" si="0"/>
        <v>9474</v>
      </c>
      <c r="H8" s="12">
        <f t="shared" si="0"/>
        <v>10322.915701250451</v>
      </c>
      <c r="I8" s="12">
        <f t="shared" si="0"/>
        <v>11024.591545798281</v>
      </c>
      <c r="J8" s="12">
        <f t="shared" si="0"/>
        <v>11768.135858249638</v>
      </c>
      <c r="K8" s="12">
        <f t="shared" si="0"/>
        <v>12472.338625423343</v>
      </c>
      <c r="L8" s="12">
        <f t="shared" si="0"/>
        <v>12708.41699699237</v>
      </c>
      <c r="M8" s="12">
        <f t="shared" si="0"/>
        <v>13050.677526317335</v>
      </c>
      <c r="N8" s="12">
        <f t="shared" si="0"/>
        <v>13279.779545789024</v>
      </c>
      <c r="P8" s="12">
        <f>SUM(P3:P7)</f>
        <v>109284.85579982045</v>
      </c>
    </row>
    <row r="9" spans="1:16" ht="5.25" customHeight="1" thickBot="1">
      <c r="A9" s="76"/>
      <c r="E9" s="109"/>
      <c r="F9" s="109"/>
      <c r="G9" s="109"/>
      <c r="H9" s="109"/>
      <c r="I9" s="109"/>
      <c r="J9" s="109"/>
      <c r="K9" s="109"/>
      <c r="L9" s="109"/>
      <c r="M9" s="109"/>
      <c r="N9" s="109"/>
    </row>
    <row r="10" spans="1:16" ht="11" thickBot="1">
      <c r="A10" s="106" t="s">
        <v>228</v>
      </c>
      <c r="C10" s="4"/>
      <c r="E10" s="4"/>
      <c r="F10" s="4"/>
      <c r="G10" s="4"/>
      <c r="H10" s="4"/>
      <c r="I10" s="4"/>
      <c r="J10" s="4"/>
      <c r="K10" s="4"/>
      <c r="L10" s="4"/>
      <c r="M10" s="4"/>
      <c r="N10" s="4"/>
      <c r="O10" s="105"/>
      <c r="P10" s="4"/>
    </row>
    <row r="11" spans="1:16" ht="11" thickBot="1">
      <c r="A11" s="5" t="s">
        <v>229</v>
      </c>
      <c r="C11" s="61">
        <f>'5. Financials - drinking water'!C11+'6. Financials - wastewater'!C11+'7. Financials - stormwater'!C11</f>
        <v>2263</v>
      </c>
      <c r="E11" s="61">
        <f>'5. Financials - drinking water'!E11+'6. Financials - wastewater'!E11+'7. Financials - stormwater'!E11</f>
        <v>2227</v>
      </c>
      <c r="F11" s="61">
        <f>'5. Financials - drinking water'!F11+'6. Financials - wastewater'!F11+'7. Financials - stormwater'!F11</f>
        <v>2351</v>
      </c>
      <c r="G11" s="61">
        <f>'5. Financials - drinking water'!G11+'6. Financials - wastewater'!G11+'7. Financials - stormwater'!G11</f>
        <v>2465</v>
      </c>
      <c r="H11" s="61">
        <f>'5. Financials - drinking water'!H11+'6. Financials - wastewater'!H11+'7. Financials - stormwater'!H11</f>
        <v>2752.5064006765856</v>
      </c>
      <c r="I11" s="61">
        <f>'5. Financials - drinking water'!I11+'6. Financials - wastewater'!I11+'7. Financials - stormwater'!I11</f>
        <v>2827.4440606935</v>
      </c>
      <c r="J11" s="61">
        <f>'5. Financials - drinking water'!J11+'6. Financials - wastewater'!J11+'7. Financials - stormwater'!J11</f>
        <v>2885.6825316456361</v>
      </c>
      <c r="K11" s="61">
        <f>'5. Financials - drinking water'!K11+'6. Financials - wastewater'!K11+'7. Financials - stormwater'!K11</f>
        <v>3016.8640651450746</v>
      </c>
      <c r="L11" s="61">
        <f>'5. Financials - drinking water'!L11+'6. Financials - wastewater'!L11+'7. Financials - stormwater'!L11</f>
        <v>2968.507730785992</v>
      </c>
      <c r="M11" s="61">
        <f>'5. Financials - drinking water'!M11+'6. Financials - wastewater'!M11+'7. Financials - stormwater'!M11</f>
        <v>3016.0252120206219</v>
      </c>
      <c r="N11" s="61">
        <f>'5. Financials - drinking water'!N11+'6. Financials - wastewater'!N11+'7. Financials - stormwater'!N11</f>
        <v>3078.1242204714322</v>
      </c>
      <c r="P11" s="107">
        <f>SUM(E11:N11)</f>
        <v>27588.154221438843</v>
      </c>
    </row>
    <row r="12" spans="1:16" ht="11" thickBot="1">
      <c r="A12" s="5" t="s">
        <v>230</v>
      </c>
      <c r="C12" s="61">
        <f>'5. Financials - drinking water'!C12+'6. Financials - wastewater'!C12+'7. Financials - stormwater'!C12</f>
        <v>825</v>
      </c>
      <c r="E12" s="61">
        <f>'5. Financials - drinking water'!E12+'6. Financials - wastewater'!E12+'7. Financials - stormwater'!E12</f>
        <v>778.94299999999998</v>
      </c>
      <c r="F12" s="61">
        <f>'5. Financials - drinking water'!F12+'6. Financials - wastewater'!F12+'7. Financials - stormwater'!F12</f>
        <v>1000</v>
      </c>
      <c r="G12" s="61">
        <f>'5. Financials - drinking water'!G12+'6. Financials - wastewater'!G12+'7. Financials - stormwater'!G12</f>
        <v>1206</v>
      </c>
      <c r="H12" s="61">
        <f>'5. Financials - drinking water'!H12+'6. Financials - wastewater'!H12+'7. Financials - stormwater'!H12</f>
        <v>2154.6143009827838</v>
      </c>
      <c r="I12" s="61">
        <f>'5. Financials - drinking water'!I12+'6. Financials - wastewater'!I12+'7. Financials - stormwater'!I12</f>
        <v>2388.8444554713919</v>
      </c>
      <c r="J12" s="61">
        <f>'5. Financials - drinking water'!J12+'6. Financials - wastewater'!J12+'7. Financials - stormwater'!J12</f>
        <v>2581.9253384484118</v>
      </c>
      <c r="K12" s="61">
        <f>'5. Financials - drinking water'!K12+'6. Financials - wastewater'!K12+'7. Financials - stormwater'!K12</f>
        <v>2774.1419068421815</v>
      </c>
      <c r="L12" s="61">
        <f>'5. Financials - drinking water'!L12+'6. Financials - wastewater'!L12+'7. Financials - stormwater'!L12</f>
        <v>2913.3671011495862</v>
      </c>
      <c r="M12" s="61">
        <f>'5. Financials - drinking water'!M12+'6. Financials - wastewater'!M12+'7. Financials - stormwater'!M12</f>
        <v>2989.5707473796456</v>
      </c>
      <c r="N12" s="61">
        <f>'5. Financials - drinking water'!N12+'6. Financials - wastewater'!N12+'7. Financials - stormwater'!N12</f>
        <v>3056.3167748292308</v>
      </c>
      <c r="P12" s="107">
        <f>SUM(E12:N12)</f>
        <v>21843.72362510323</v>
      </c>
    </row>
    <row r="13" spans="1:16" ht="11" thickBot="1">
      <c r="A13" s="5" t="s">
        <v>231</v>
      </c>
      <c r="C13" s="61">
        <f>'5. Financials - drinking water'!C13+'6. Financials - wastewater'!C13+'7. Financials - stormwater'!C13</f>
        <v>2252</v>
      </c>
      <c r="E13" s="61">
        <f>'5. Financials - drinking water'!E13+'6. Financials - wastewater'!E13+'7. Financials - stormwater'!E13</f>
        <v>1673</v>
      </c>
      <c r="F13" s="61">
        <f>'5. Financials - drinking water'!F13+'6. Financials - wastewater'!F13+'7. Financials - stormwater'!F13</f>
        <v>1738</v>
      </c>
      <c r="G13" s="61">
        <f>'5. Financials - drinking water'!G13+'6. Financials - wastewater'!G13+'7. Financials - stormwater'!G13</f>
        <v>1812</v>
      </c>
      <c r="H13" s="61">
        <f>'5. Financials - drinking water'!H13+'6. Financials - wastewater'!H13+'7. Financials - stormwater'!H13</f>
        <v>1808</v>
      </c>
      <c r="I13" s="61">
        <f>'5. Financials - drinking water'!I13+'6. Financials - wastewater'!I13+'7. Financials - stormwater'!I13</f>
        <v>1864</v>
      </c>
      <c r="J13" s="61">
        <f>'5. Financials - drinking water'!J13+'6. Financials - wastewater'!J13+'7. Financials - stormwater'!J13</f>
        <v>1926</v>
      </c>
      <c r="K13" s="61">
        <f>'5. Financials - drinking water'!K13+'6. Financials - wastewater'!K13+'7. Financials - stormwater'!K13</f>
        <v>1945</v>
      </c>
      <c r="L13" s="61">
        <f>'5. Financials - drinking water'!L13+'6. Financials - wastewater'!L13+'7. Financials - stormwater'!L13</f>
        <v>1988</v>
      </c>
      <c r="M13" s="61">
        <f>'5. Financials - drinking water'!M13+'6. Financials - wastewater'!M13+'7. Financials - stormwater'!M13</f>
        <v>2051</v>
      </c>
      <c r="N13" s="61">
        <f>'5. Financials - drinking water'!N13+'6. Financials - wastewater'!N13+'7. Financials - stormwater'!N13</f>
        <v>2078</v>
      </c>
      <c r="P13" s="107">
        <f>SUM(E13:N13)</f>
        <v>18883</v>
      </c>
    </row>
    <row r="14" spans="1:16" ht="11" thickBot="1">
      <c r="A14" s="5" t="s">
        <v>232</v>
      </c>
      <c r="C14" s="61">
        <f>'5. Financials - drinking water'!C14+'6. Financials - wastewater'!C14+'7. Financials - stormwater'!C14</f>
        <v>37</v>
      </c>
      <c r="E14" s="61">
        <f>'5. Financials - drinking water'!E14+'6. Financials - wastewater'!E14+'7. Financials - stormwater'!E14</f>
        <v>0</v>
      </c>
      <c r="F14" s="61">
        <f>'5. Financials - drinking water'!F14+'6. Financials - wastewater'!F14+'7. Financials - stormwater'!F14</f>
        <v>0</v>
      </c>
      <c r="G14" s="61">
        <f>'5. Financials - drinking water'!G14+'6. Financials - wastewater'!G14+'7. Financials - stormwater'!G14</f>
        <v>0</v>
      </c>
      <c r="H14" s="61">
        <f>'5. Financials - drinking water'!H14+'6. Financials - wastewater'!H14+'7. Financials - stormwater'!H14</f>
        <v>0</v>
      </c>
      <c r="I14" s="61">
        <f>'5. Financials - drinking water'!I14+'6. Financials - wastewater'!I14+'7. Financials - stormwater'!I14</f>
        <v>0</v>
      </c>
      <c r="J14" s="61">
        <f>'5. Financials - drinking water'!J14+'6. Financials - wastewater'!J14+'7. Financials - stormwater'!J14</f>
        <v>0</v>
      </c>
      <c r="K14" s="61">
        <f>'5. Financials - drinking water'!K14+'6. Financials - wastewater'!K14+'7. Financials - stormwater'!K14</f>
        <v>0</v>
      </c>
      <c r="L14" s="61">
        <f>'5. Financials - drinking water'!L14+'6. Financials - wastewater'!L14+'7. Financials - stormwater'!L14</f>
        <v>0</v>
      </c>
      <c r="M14" s="61">
        <f>'5. Financials - drinking water'!M14+'6. Financials - wastewater'!M14+'7. Financials - stormwater'!M14</f>
        <v>0</v>
      </c>
      <c r="N14" s="61">
        <f>'5. Financials - drinking water'!N14+'6. Financials - wastewater'!N14+'7. Financials - stormwater'!N14</f>
        <v>0</v>
      </c>
      <c r="P14" s="107">
        <f>SUM(E14:N14)</f>
        <v>0</v>
      </c>
    </row>
    <row r="15" spans="1:16" ht="11" thickBot="1">
      <c r="A15" s="108" t="s">
        <v>233</v>
      </c>
      <c r="C15" s="12">
        <f>SUM(C11:C14)</f>
        <v>5377</v>
      </c>
      <c r="E15" s="12">
        <f t="shared" ref="E15:N15" si="1">SUM(E11:E14)</f>
        <v>4678.9430000000002</v>
      </c>
      <c r="F15" s="12">
        <f t="shared" si="1"/>
        <v>5089</v>
      </c>
      <c r="G15" s="12">
        <f t="shared" si="1"/>
        <v>5483</v>
      </c>
      <c r="H15" s="12">
        <f t="shared" si="1"/>
        <v>6715.1207016593689</v>
      </c>
      <c r="I15" s="12">
        <f t="shared" si="1"/>
        <v>7080.2885161648919</v>
      </c>
      <c r="J15" s="12">
        <f t="shared" si="1"/>
        <v>7393.6078700940479</v>
      </c>
      <c r="K15" s="12">
        <f t="shared" si="1"/>
        <v>7736.0059719872561</v>
      </c>
      <c r="L15" s="12">
        <f t="shared" si="1"/>
        <v>7869.8748319355782</v>
      </c>
      <c r="M15" s="12">
        <f t="shared" si="1"/>
        <v>8056.595959400267</v>
      </c>
      <c r="N15" s="12">
        <f t="shared" si="1"/>
        <v>8212.4409953006634</v>
      </c>
      <c r="P15" s="12">
        <f>SUM(P11:P14)</f>
        <v>68314.877846542076</v>
      </c>
    </row>
    <row r="16" spans="1:16" ht="5.25" customHeight="1" thickBot="1">
      <c r="A16" s="110"/>
    </row>
    <row r="17" spans="1:16" ht="11" thickBot="1">
      <c r="A17" s="108" t="s">
        <v>234</v>
      </c>
      <c r="C17" s="12">
        <f>C8-C15</f>
        <v>1350</v>
      </c>
      <c r="E17" s="12">
        <f t="shared" ref="E17:N17" si="2">E8-E15</f>
        <v>2201.0569999999998</v>
      </c>
      <c r="F17" s="12">
        <f t="shared" si="2"/>
        <v>3215</v>
      </c>
      <c r="G17" s="12">
        <f t="shared" si="2"/>
        <v>3991</v>
      </c>
      <c r="H17" s="12">
        <f t="shared" si="2"/>
        <v>3607.7949995910822</v>
      </c>
      <c r="I17" s="12">
        <f t="shared" si="2"/>
        <v>3944.3030296333891</v>
      </c>
      <c r="J17" s="12">
        <f t="shared" si="2"/>
        <v>4374.5279881555898</v>
      </c>
      <c r="K17" s="12">
        <f t="shared" si="2"/>
        <v>4736.3326534360867</v>
      </c>
      <c r="L17" s="12">
        <f t="shared" si="2"/>
        <v>4838.5421650567914</v>
      </c>
      <c r="M17" s="12">
        <f t="shared" si="2"/>
        <v>4994.0815669170679</v>
      </c>
      <c r="N17" s="12">
        <f t="shared" si="2"/>
        <v>5067.3385504883609</v>
      </c>
      <c r="P17" s="12">
        <f>P8-P15</f>
        <v>40969.977953278372</v>
      </c>
    </row>
    <row r="18" spans="1:16" ht="5.25" customHeight="1" thickBot="1">
      <c r="A18" s="76"/>
    </row>
    <row r="19" spans="1:16" ht="11" thickBot="1">
      <c r="A19" s="106" t="s">
        <v>235</v>
      </c>
      <c r="C19" s="4"/>
      <c r="E19" s="4"/>
      <c r="F19" s="4"/>
      <c r="G19" s="4"/>
      <c r="H19" s="4"/>
      <c r="I19" s="4"/>
      <c r="J19" s="4"/>
      <c r="K19" s="4"/>
      <c r="L19" s="4"/>
      <c r="M19" s="4"/>
      <c r="N19" s="4"/>
      <c r="O19" s="105"/>
      <c r="P19" s="4"/>
    </row>
    <row r="20" spans="1:16" ht="11" thickBot="1">
      <c r="A20" s="5" t="s">
        <v>236</v>
      </c>
      <c r="C20" s="61">
        <f>'5. Financials - drinking water'!C20+'6. Financials - wastewater'!C20+'7. Financials - stormwater'!C20</f>
        <v>0</v>
      </c>
      <c r="E20" s="61">
        <f>'5. Financials - drinking water'!E20+'6. Financials - wastewater'!E20+'7. Financials - stormwater'!E20</f>
        <v>500</v>
      </c>
      <c r="F20" s="61">
        <f>'5. Financials - drinking water'!F20+'6. Financials - wastewater'!F20+'7. Financials - stormwater'!F20</f>
        <v>0</v>
      </c>
      <c r="G20" s="61">
        <f>'5. Financials - drinking water'!G20+'6. Financials - wastewater'!G20+'7. Financials - stormwater'!G20</f>
        <v>0</v>
      </c>
      <c r="H20" s="61">
        <f>'5. Financials - drinking water'!H20+'6. Financials - wastewater'!H20+'7. Financials - stormwater'!H20</f>
        <v>0</v>
      </c>
      <c r="I20" s="61">
        <f>'5. Financials - drinking water'!I20+'6. Financials - wastewater'!I20+'7. Financials - stormwater'!I20</f>
        <v>0</v>
      </c>
      <c r="J20" s="61">
        <f>'5. Financials - drinking water'!J20+'6. Financials - wastewater'!J20+'7. Financials - stormwater'!J20</f>
        <v>0</v>
      </c>
      <c r="K20" s="61">
        <f>'5. Financials - drinking water'!K20+'6. Financials - wastewater'!K20+'7. Financials - stormwater'!K20</f>
        <v>0</v>
      </c>
      <c r="L20" s="61">
        <f>'5. Financials - drinking water'!L20+'6. Financials - wastewater'!L20+'7. Financials - stormwater'!L20</f>
        <v>0</v>
      </c>
      <c r="M20" s="61">
        <f>'5. Financials - drinking water'!M20+'6. Financials - wastewater'!M20+'7. Financials - stormwater'!M20</f>
        <v>0</v>
      </c>
      <c r="N20" s="61">
        <f>'5. Financials - drinking water'!N20+'6. Financials - wastewater'!N20+'7. Financials - stormwater'!N20</f>
        <v>0</v>
      </c>
      <c r="P20" s="107">
        <f>SUM(E20:N20)</f>
        <v>500</v>
      </c>
    </row>
    <row r="21" spans="1:16" ht="11" thickBot="1">
      <c r="A21" s="5" t="s">
        <v>237</v>
      </c>
      <c r="C21" s="61">
        <f>'5. Financials - drinking water'!C21+'6. Financials - wastewater'!C21+'7. Financials - stormwater'!C21</f>
        <v>102</v>
      </c>
      <c r="E21" s="61">
        <f>'5. Financials - drinking water'!E21+'6. Financials - wastewater'!E21+'7. Financials - stormwater'!E21</f>
        <v>249</v>
      </c>
      <c r="F21" s="61">
        <f>'5. Financials - drinking water'!F21+'6. Financials - wastewater'!F21+'7. Financials - stormwater'!F21</f>
        <v>255</v>
      </c>
      <c r="G21" s="61">
        <f>'5. Financials - drinking water'!G21+'6. Financials - wastewater'!G21+'7. Financials - stormwater'!G21</f>
        <v>260</v>
      </c>
      <c r="H21" s="61">
        <f>'5. Financials - drinking water'!H21+'6. Financials - wastewater'!H21+'7. Financials - stormwater'!H21</f>
        <v>264</v>
      </c>
      <c r="I21" s="61">
        <f>'5. Financials - drinking water'!I21+'6. Financials - wastewater'!I21+'7. Financials - stormwater'!I21</f>
        <v>267</v>
      </c>
      <c r="J21" s="61">
        <f>'5. Financials - drinking water'!J21+'6. Financials - wastewater'!J21+'7. Financials - stormwater'!J21</f>
        <v>268</v>
      </c>
      <c r="K21" s="61">
        <f>'5. Financials - drinking water'!K21+'6. Financials - wastewater'!K21+'7. Financials - stormwater'!K21</f>
        <v>270</v>
      </c>
      <c r="L21" s="61">
        <f>'5. Financials - drinking water'!L21+'6. Financials - wastewater'!L21+'7. Financials - stormwater'!L21</f>
        <v>272</v>
      </c>
      <c r="M21" s="61">
        <f>'5. Financials - drinking water'!M21+'6. Financials - wastewater'!M21+'7. Financials - stormwater'!M21</f>
        <v>274</v>
      </c>
      <c r="N21" s="61">
        <f>'5. Financials - drinking water'!N21+'6. Financials - wastewater'!N21+'7. Financials - stormwater'!N21</f>
        <v>276</v>
      </c>
      <c r="P21" s="107">
        <f>SUM(E21:N21)</f>
        <v>2655</v>
      </c>
    </row>
    <row r="22" spans="1:16" ht="11" thickBot="1">
      <c r="A22" s="5" t="s">
        <v>238</v>
      </c>
      <c r="C22" s="61">
        <f>'5. Financials - drinking water'!C22+'6. Financials - wastewater'!C22+'7. Financials - stormwater'!C22</f>
        <v>7098</v>
      </c>
      <c r="E22" s="61">
        <f>'5. Financials - drinking water'!E22+'6. Financials - wastewater'!E22+'7. Financials - stormwater'!E22</f>
        <v>2983</v>
      </c>
      <c r="F22" s="61">
        <f>'5. Financials - drinking water'!F22+'6. Financials - wastewater'!F22+'7. Financials - stormwater'!F22</f>
        <v>4052</v>
      </c>
      <c r="G22" s="61">
        <f>'5. Financials - drinking water'!G22+'6. Financials - wastewater'!G22+'7. Financials - stormwater'!G22</f>
        <v>3575</v>
      </c>
      <c r="H22" s="61">
        <f>'5. Financials - drinking water'!H22+'6. Financials - wastewater'!H22+'7. Financials - stormwater'!H22</f>
        <v>5698.2050004089169</v>
      </c>
      <c r="I22" s="61">
        <f>'5. Financials - drinking water'!I22+'6. Financials - wastewater'!I22+'7. Financials - stormwater'!I22</f>
        <v>5096.6969703666109</v>
      </c>
      <c r="J22" s="61">
        <f>'5. Financials - drinking water'!J22+'6. Financials - wastewater'!J22+'7. Financials - stormwater'!J22</f>
        <v>4393.4133451777407</v>
      </c>
      <c r="K22" s="61">
        <f>'5. Financials - drinking water'!K22+'6. Financials - wastewater'!K22+'7. Financials - stormwater'!K22</f>
        <v>5387.0221696750232</v>
      </c>
      <c r="L22" s="61">
        <f>'5. Financials - drinking water'!L22+'6. Financials - wastewater'!L22+'7. Financials - stormwater'!L22</f>
        <v>533.04283487920861</v>
      </c>
      <c r="M22" s="61">
        <f>'5. Financials - drinking water'!M22+'6. Financials - wastewater'!M22+'7. Financials - stormwater'!M22</f>
        <v>-487.71764764717909</v>
      </c>
      <c r="N22" s="61">
        <f>'5. Financials - drinking water'!N22+'6. Financials - wastewater'!N22+'7. Financials - stormwater'!N22</f>
        <v>-1594.6687432503734</v>
      </c>
      <c r="P22" s="107">
        <f>SUM(E22:N22)</f>
        <v>29635.993929609947</v>
      </c>
    </row>
    <row r="23" spans="1:16" ht="11" thickBot="1">
      <c r="A23" s="5" t="s">
        <v>239</v>
      </c>
      <c r="C23" s="61">
        <f>'5. Financials - drinking water'!C23+'6. Financials - wastewater'!C23+'7. Financials - stormwater'!C23</f>
        <v>0</v>
      </c>
      <c r="E23" s="61">
        <f>'5. Financials - drinking water'!E23+'6. Financials - wastewater'!E23+'7. Financials - stormwater'!E23</f>
        <v>0</v>
      </c>
      <c r="F23" s="61">
        <f>'5. Financials - drinking water'!F23+'6. Financials - wastewater'!F23+'7. Financials - stormwater'!F23</f>
        <v>0</v>
      </c>
      <c r="G23" s="61">
        <f>'5. Financials - drinking water'!G23+'6. Financials - wastewater'!G23+'7. Financials - stormwater'!G23</f>
        <v>0</v>
      </c>
      <c r="H23" s="61">
        <f>'5. Financials - drinking water'!H23+'6. Financials - wastewater'!H23+'7. Financials - stormwater'!H23</f>
        <v>0</v>
      </c>
      <c r="I23" s="61">
        <f>'5. Financials - drinking water'!I23+'6. Financials - wastewater'!I23+'7. Financials - stormwater'!I23</f>
        <v>0</v>
      </c>
      <c r="J23" s="61">
        <f>'5. Financials - drinking water'!J23+'6. Financials - wastewater'!J23+'7. Financials - stormwater'!J23</f>
        <v>0</v>
      </c>
      <c r="K23" s="61">
        <f>'5. Financials - drinking water'!K23+'6. Financials - wastewater'!K23+'7. Financials - stormwater'!K23</f>
        <v>0</v>
      </c>
      <c r="L23" s="61">
        <f>'5. Financials - drinking water'!L23+'6. Financials - wastewater'!L23+'7. Financials - stormwater'!L23</f>
        <v>0</v>
      </c>
      <c r="M23" s="61">
        <f>'5. Financials - drinking water'!M23+'6. Financials - wastewater'!M23+'7. Financials - stormwater'!M23</f>
        <v>0</v>
      </c>
      <c r="N23" s="61">
        <f>'5. Financials - drinking water'!N23+'6. Financials - wastewater'!N23+'7. Financials - stormwater'!N23</f>
        <v>0</v>
      </c>
      <c r="P23" s="107">
        <f>SUM(E23:N23)</f>
        <v>0</v>
      </c>
    </row>
    <row r="24" spans="1:16" ht="11" thickBot="1">
      <c r="A24" s="5" t="s">
        <v>240</v>
      </c>
      <c r="C24" s="61">
        <f>'5. Financials - drinking water'!C24+'6. Financials - wastewater'!C24+'7. Financials - stormwater'!C24</f>
        <v>0</v>
      </c>
      <c r="E24" s="61">
        <f>'5. Financials - drinking water'!E24+'6. Financials - wastewater'!E24+'7. Financials - stormwater'!E24</f>
        <v>0</v>
      </c>
      <c r="F24" s="61">
        <f>'5. Financials - drinking water'!F24+'6. Financials - wastewater'!F24+'7. Financials - stormwater'!F24</f>
        <v>0</v>
      </c>
      <c r="G24" s="61">
        <f>'5. Financials - drinking water'!G24+'6. Financials - wastewater'!G24+'7. Financials - stormwater'!G24</f>
        <v>0</v>
      </c>
      <c r="H24" s="61">
        <f>'5. Financials - drinking water'!H24+'6. Financials - wastewater'!H24+'7. Financials - stormwater'!H24</f>
        <v>0</v>
      </c>
      <c r="I24" s="61">
        <f>'5. Financials - drinking water'!I24+'6. Financials - wastewater'!I24+'7. Financials - stormwater'!I24</f>
        <v>0</v>
      </c>
      <c r="J24" s="61">
        <f>'5. Financials - drinking water'!J24+'6. Financials - wastewater'!J24+'7. Financials - stormwater'!J24</f>
        <v>0</v>
      </c>
      <c r="K24" s="61">
        <f>'5. Financials - drinking water'!K24+'6. Financials - wastewater'!K24+'7. Financials - stormwater'!K24</f>
        <v>0</v>
      </c>
      <c r="L24" s="61">
        <f>'5. Financials - drinking water'!L24+'6. Financials - wastewater'!L24+'7. Financials - stormwater'!L24</f>
        <v>0</v>
      </c>
      <c r="M24" s="61">
        <f>'5. Financials - drinking water'!M24+'6. Financials - wastewater'!M24+'7. Financials - stormwater'!M24</f>
        <v>0</v>
      </c>
      <c r="N24" s="61">
        <f>'5. Financials - drinking water'!N24+'6. Financials - wastewater'!N24+'7. Financials - stormwater'!N24</f>
        <v>0</v>
      </c>
      <c r="P24" s="107">
        <f>SUM(E24:N24)</f>
        <v>0</v>
      </c>
    </row>
    <row r="25" spans="1:16" ht="11" thickBot="1">
      <c r="A25" s="108" t="s">
        <v>241</v>
      </c>
      <c r="C25" s="12">
        <f>SUM(C20:C24)</f>
        <v>7200</v>
      </c>
      <c r="E25" s="12">
        <f t="shared" ref="E25:N25" si="3">SUM(E20:E24)</f>
        <v>3732</v>
      </c>
      <c r="F25" s="12">
        <f t="shared" si="3"/>
        <v>4307</v>
      </c>
      <c r="G25" s="12">
        <f t="shared" si="3"/>
        <v>3835</v>
      </c>
      <c r="H25" s="12">
        <f t="shared" si="3"/>
        <v>5962.2050004089169</v>
      </c>
      <c r="I25" s="12">
        <f t="shared" si="3"/>
        <v>5363.6969703666109</v>
      </c>
      <c r="J25" s="12">
        <f t="shared" si="3"/>
        <v>4661.4133451777407</v>
      </c>
      <c r="K25" s="12">
        <f t="shared" si="3"/>
        <v>5657.0221696750232</v>
      </c>
      <c r="L25" s="12">
        <f t="shared" si="3"/>
        <v>805.04283487920861</v>
      </c>
      <c r="M25" s="12">
        <f t="shared" si="3"/>
        <v>-213.71764764717909</v>
      </c>
      <c r="N25" s="12">
        <f t="shared" si="3"/>
        <v>-1318.6687432503734</v>
      </c>
      <c r="P25" s="12">
        <f>SUM(P20:P24)</f>
        <v>32790.993929609947</v>
      </c>
    </row>
    <row r="26" spans="1:16" ht="5.25" customHeight="1" thickBot="1">
      <c r="A26" s="76"/>
    </row>
    <row r="27" spans="1:16" ht="11" thickBot="1">
      <c r="A27" s="106" t="s">
        <v>242</v>
      </c>
      <c r="C27" s="4"/>
      <c r="E27" s="4"/>
      <c r="F27" s="4"/>
      <c r="G27" s="4"/>
      <c r="H27" s="4"/>
      <c r="I27" s="4"/>
      <c r="J27" s="4"/>
      <c r="K27" s="4"/>
      <c r="L27" s="4"/>
      <c r="M27" s="4"/>
      <c r="N27" s="4"/>
      <c r="O27" s="105"/>
      <c r="P27" s="4"/>
    </row>
    <row r="28" spans="1:16" ht="11" thickBot="1">
      <c r="A28" s="5" t="s">
        <v>192</v>
      </c>
      <c r="C28" s="61">
        <f>'5. Financials - drinking water'!C28+'6. Financials - wastewater'!C28+'7. Financials - stormwater'!C28</f>
        <v>77</v>
      </c>
      <c r="E28" s="61">
        <f>'5. Financials - drinking water'!E28+'6. Financials - wastewater'!E28+'7. Financials - stormwater'!E28</f>
        <v>75</v>
      </c>
      <c r="F28" s="61">
        <f>'5. Financials - drinking water'!F28+'6. Financials - wastewater'!F28+'7. Financials - stormwater'!F28</f>
        <v>77</v>
      </c>
      <c r="G28" s="61">
        <f>'5. Financials - drinking water'!G28+'6. Financials - wastewater'!G28+'7. Financials - stormwater'!G28</f>
        <v>80</v>
      </c>
      <c r="H28" s="61">
        <f>'5. Financials - drinking water'!H28+'6. Financials - wastewater'!H28+'7. Financials - stormwater'!H28</f>
        <v>83</v>
      </c>
      <c r="I28" s="61">
        <f>'5. Financials - drinking water'!I28+'6. Financials - wastewater'!I28+'7. Financials - stormwater'!I28</f>
        <v>85</v>
      </c>
      <c r="J28" s="61">
        <f>'5. Financials - drinking water'!J28+'6. Financials - wastewater'!J28+'7. Financials - stormwater'!J28</f>
        <v>85.939509769094144</v>
      </c>
      <c r="K28" s="61">
        <f>'5. Financials - drinking water'!K28+'6. Financials - wastewater'!K28+'7. Financials - stormwater'!K28</f>
        <v>88.806048221038083</v>
      </c>
      <c r="L28" s="61">
        <f>'5. Financials - drinking water'!L28+'6. Financials - wastewater'!L28+'7. Financials - stormwater'!L28</f>
        <v>90.603996316570743</v>
      </c>
      <c r="M28" s="61">
        <f>'5. Financials - drinking water'!M28+'6. Financials - wastewater'!M28+'7. Financials - stormwater'!M28</f>
        <v>92.394062744066716</v>
      </c>
      <c r="N28" s="61">
        <f>'5. Financials - drinking water'!N28+'6. Financials - wastewater'!N28+'7. Financials - stormwater'!N28</f>
        <v>94.176296340322452</v>
      </c>
      <c r="P28" s="107">
        <f>SUM(E28:N28)</f>
        <v>851.919913391092</v>
      </c>
    </row>
    <row r="29" spans="1:16" ht="11" thickBot="1">
      <c r="A29" s="5" t="s">
        <v>193</v>
      </c>
      <c r="C29" s="61">
        <f>'5. Financials - drinking water'!C29+'6. Financials - wastewater'!C29+'7. Financials - stormwater'!C29</f>
        <v>5646</v>
      </c>
      <c r="E29" s="61">
        <f>'5. Financials - drinking water'!E29+'6. Financials - wastewater'!E29+'7. Financials - stormwater'!E29</f>
        <v>960</v>
      </c>
      <c r="F29" s="61">
        <f>'5. Financials - drinking water'!F29+'6. Financials - wastewater'!F29+'7. Financials - stormwater'!F29</f>
        <v>382</v>
      </c>
      <c r="G29" s="61">
        <f>'5. Financials - drinking water'!G29+'6. Financials - wastewater'!G29+'7. Financials - stormwater'!G29</f>
        <v>285</v>
      </c>
      <c r="H29" s="61">
        <f>'5. Financials - drinking water'!H29+'6. Financials - wastewater'!H29+'7. Financials - stormwater'!H29</f>
        <v>1162</v>
      </c>
      <c r="I29" s="61">
        <f>'5. Financials - drinking water'!I29+'6. Financials - wastewater'!I29+'7. Financials - stormwater'!I29</f>
        <v>2609</v>
      </c>
      <c r="J29" s="61">
        <f>'5. Financials - drinking water'!J29+'6. Financials - wastewater'!J29+'7. Financials - stormwater'!J29</f>
        <v>2365.8974375370044</v>
      </c>
      <c r="K29" s="61">
        <f>'5. Financials - drinking water'!K29+'6. Financials - wastewater'!K29+'7. Financials - stormwater'!K29</f>
        <v>2422.2806471111112</v>
      </c>
      <c r="L29" s="61">
        <f>'5. Financials - drinking water'!L29+'6. Financials - wastewater'!L29+'7. Financials - stormwater'!L29</f>
        <v>75.7134405818733</v>
      </c>
      <c r="M29" s="61">
        <f>'5. Financials - drinking water'!M29+'6. Financials - wastewater'!M29+'7. Financials - stormwater'!M29</f>
        <v>79.548375019920144</v>
      </c>
      <c r="N29" s="61">
        <f>'5. Financials - drinking water'!N29+'6. Financials - wastewater'!N29+'7. Financials - stormwater'!N29</f>
        <v>85.353915826546086</v>
      </c>
      <c r="P29" s="107">
        <f>SUM(E29:N29)</f>
        <v>10426.793816076455</v>
      </c>
    </row>
    <row r="30" spans="1:16" ht="11" thickBot="1">
      <c r="A30" s="5" t="s">
        <v>194</v>
      </c>
      <c r="C30" s="61">
        <f>'5. Financials - drinking water'!C30+'6. Financials - wastewater'!C30+'7. Financials - stormwater'!C30</f>
        <v>4161</v>
      </c>
      <c r="E30" s="61">
        <f>'5. Financials - drinking water'!E30+'6. Financials - wastewater'!E30+'7. Financials - stormwater'!E30</f>
        <v>4595</v>
      </c>
      <c r="F30" s="61">
        <f>'5. Financials - drinking water'!F30+'6. Financials - wastewater'!F30+'7. Financials - stormwater'!F30</f>
        <v>6416</v>
      </c>
      <c r="G30" s="61">
        <f>'5. Financials - drinking water'!G30+'6. Financials - wastewater'!G30+'7. Financials - stormwater'!G30</f>
        <v>6150</v>
      </c>
      <c r="H30" s="61">
        <f>'5. Financials - drinking water'!H30+'6. Financials - wastewater'!H30+'7. Financials - stormwater'!H30</f>
        <v>5630</v>
      </c>
      <c r="I30" s="61">
        <f>'5. Financials - drinking water'!I30+'6. Financials - wastewater'!I30+'7. Financials - stormwater'!I30</f>
        <v>5165</v>
      </c>
      <c r="J30" s="61">
        <f>'5. Financials - drinking water'!J30+'6. Financials - wastewater'!J30+'7. Financials - stormwater'!J30</f>
        <v>5082.1043860272348</v>
      </c>
      <c r="K30" s="61">
        <f>'5. Financials - drinking water'!K30+'6. Financials - wastewater'!K30+'7. Financials - stormwater'!K30</f>
        <v>6123.2681277789616</v>
      </c>
      <c r="L30" s="61">
        <f>'5. Financials - drinking water'!L30+'6. Financials - wastewater'!L30+'7. Financials - stormwater'!L30</f>
        <v>5976.2675630375561</v>
      </c>
      <c r="M30" s="61">
        <f>'5. Financials - drinking water'!M30+'6. Financials - wastewater'!M30+'7. Financials - stormwater'!M30</f>
        <v>6661.4214815059013</v>
      </c>
      <c r="N30" s="61">
        <f>'5. Financials - drinking water'!N30+'6. Financials - wastewater'!N30+'7. Financials - stormwater'!N30</f>
        <v>5906.1395950711194</v>
      </c>
      <c r="P30" s="107">
        <f>SUM(E30:N30)</f>
        <v>57705.20115342077</v>
      </c>
    </row>
    <row r="31" spans="1:16" ht="11" thickBot="1">
      <c r="A31" s="5" t="s">
        <v>243</v>
      </c>
      <c r="C31" s="61">
        <f>'5. Financials - drinking water'!C31+'6. Financials - wastewater'!C31+'7. Financials - stormwater'!C31</f>
        <v>-1332</v>
      </c>
      <c r="E31" s="61">
        <f>'5. Financials - drinking water'!E31+'6. Financials - wastewater'!E31+'7. Financials - stormwater'!E31</f>
        <v>303</v>
      </c>
      <c r="F31" s="61">
        <f>'5. Financials - drinking water'!F31+'6. Financials - wastewater'!F31+'7. Financials - stormwater'!F31</f>
        <v>647</v>
      </c>
      <c r="G31" s="61">
        <f>'5. Financials - drinking water'!G31+'6. Financials - wastewater'!G31+'7. Financials - stormwater'!G31</f>
        <v>1311</v>
      </c>
      <c r="H31" s="61">
        <f>'5. Financials - drinking water'!H31+'6. Financials - wastewater'!H31+'7. Financials - stormwater'!H31</f>
        <v>1445</v>
      </c>
      <c r="I31" s="61">
        <f>'5. Financials - drinking water'!I31+'6. Financials - wastewater'!I31+'7. Financials - stormwater'!I31</f>
        <v>1449</v>
      </c>
      <c r="J31" s="61">
        <f>'5. Financials - drinking water'!J31+'6. Financials - wastewater'!J31+'7. Financials - stormwater'!J31</f>
        <v>1502</v>
      </c>
      <c r="K31" s="61">
        <f>'5. Financials - drinking water'!K31+'6. Financials - wastewater'!K31+'7. Financials - stormwater'!K31</f>
        <v>1759</v>
      </c>
      <c r="L31" s="61">
        <f>'5. Financials - drinking water'!L31+'6. Financials - wastewater'!L31+'7. Financials - stormwater'!L31</f>
        <v>-499</v>
      </c>
      <c r="M31" s="61">
        <f>'5. Financials - drinking water'!M31+'6. Financials - wastewater'!M31+'7. Financials - stormwater'!M31</f>
        <v>-2053</v>
      </c>
      <c r="N31" s="61">
        <f>'5. Financials - drinking water'!N31+'6. Financials - wastewater'!N31+'7. Financials - stormwater'!N31</f>
        <v>-2337</v>
      </c>
      <c r="P31" s="107">
        <f>SUM(E31:N31)</f>
        <v>3527</v>
      </c>
    </row>
    <row r="32" spans="1:16" ht="11" thickBot="1">
      <c r="A32" s="5" t="s">
        <v>244</v>
      </c>
      <c r="C32" s="61">
        <f>'5. Financials - drinking water'!C32+'6. Financials - wastewater'!C32+'7. Financials - stormwater'!C32</f>
        <v>0</v>
      </c>
      <c r="E32" s="61">
        <f>'5. Financials - drinking water'!E32+'6. Financials - wastewater'!E32+'7. Financials - stormwater'!E32</f>
        <v>0</v>
      </c>
      <c r="F32" s="61">
        <f>'5. Financials - drinking water'!F32+'6. Financials - wastewater'!F32+'7. Financials - stormwater'!F32</f>
        <v>0</v>
      </c>
      <c r="G32" s="61">
        <f>'5. Financials - drinking water'!G32+'6. Financials - wastewater'!G32+'7. Financials - stormwater'!G32</f>
        <v>0</v>
      </c>
      <c r="H32" s="61">
        <f>'5. Financials - drinking water'!H32+'6. Financials - wastewater'!H32+'7. Financials - stormwater'!H32</f>
        <v>1250</v>
      </c>
      <c r="I32" s="61">
        <f>'5. Financials - drinking water'!I32+'6. Financials - wastewater'!I32+'7. Financials - stormwater'!I32</f>
        <v>0</v>
      </c>
      <c r="J32" s="61">
        <f>'5. Financials - drinking water'!J32+'6. Financials - wastewater'!J32+'7. Financials - stormwater'!J32</f>
        <v>0</v>
      </c>
      <c r="K32" s="61">
        <f>'5. Financials - drinking water'!K32+'6. Financials - wastewater'!K32+'7. Financials - stormwater'!K32</f>
        <v>0</v>
      </c>
      <c r="L32" s="61">
        <f>'5. Financials - drinking water'!L32+'6. Financials - wastewater'!L32+'7. Financials - stormwater'!L32</f>
        <v>0</v>
      </c>
      <c r="M32" s="61">
        <f>'5. Financials - drinking water'!M32+'6. Financials - wastewater'!M32+'7. Financials - stormwater'!M32</f>
        <v>0</v>
      </c>
      <c r="N32" s="61">
        <f>'5. Financials - drinking water'!N32+'6. Financials - wastewater'!N32+'7. Financials - stormwater'!N32</f>
        <v>0</v>
      </c>
      <c r="P32" s="107">
        <f>SUM(E32:N32)</f>
        <v>1250</v>
      </c>
    </row>
    <row r="33" spans="1:16" ht="11" thickBot="1">
      <c r="A33" s="108" t="s">
        <v>245</v>
      </c>
      <c r="C33" s="12">
        <f>SUM(C28:C32)</f>
        <v>8552</v>
      </c>
      <c r="E33" s="12">
        <f t="shared" ref="E33:N33" si="4">SUM(E28:E32)</f>
        <v>5933</v>
      </c>
      <c r="F33" s="12">
        <f t="shared" si="4"/>
        <v>7522</v>
      </c>
      <c r="G33" s="12">
        <f t="shared" si="4"/>
        <v>7826</v>
      </c>
      <c r="H33" s="12">
        <f t="shared" si="4"/>
        <v>9570</v>
      </c>
      <c r="I33" s="12">
        <f t="shared" si="4"/>
        <v>9308</v>
      </c>
      <c r="J33" s="12">
        <f t="shared" si="4"/>
        <v>9035.9413333333323</v>
      </c>
      <c r="K33" s="12">
        <f t="shared" si="4"/>
        <v>10393.354823111111</v>
      </c>
      <c r="L33" s="12">
        <f t="shared" si="4"/>
        <v>5643.5849999359998</v>
      </c>
      <c r="M33" s="12">
        <f t="shared" si="4"/>
        <v>4780.3639192698884</v>
      </c>
      <c r="N33" s="12">
        <f t="shared" si="4"/>
        <v>3748.6698072379877</v>
      </c>
      <c r="P33" s="12">
        <f>SUM(P28:P32)</f>
        <v>73760.914882888319</v>
      </c>
    </row>
    <row r="34" spans="1:16" ht="5.25" customHeight="1" thickBot="1">
      <c r="A34" s="110"/>
    </row>
    <row r="35" spans="1:16" ht="11" thickBot="1">
      <c r="A35" s="108" t="s">
        <v>246</v>
      </c>
      <c r="C35" s="12">
        <f>C25-C33</f>
        <v>-1352</v>
      </c>
      <c r="E35" s="12">
        <f t="shared" ref="E35:N35" si="5">E25-E33</f>
        <v>-2201</v>
      </c>
      <c r="F35" s="12">
        <f t="shared" si="5"/>
        <v>-3215</v>
      </c>
      <c r="G35" s="12">
        <f t="shared" si="5"/>
        <v>-3991</v>
      </c>
      <c r="H35" s="12">
        <f t="shared" si="5"/>
        <v>-3607.7949995910831</v>
      </c>
      <c r="I35" s="12">
        <f t="shared" si="5"/>
        <v>-3944.3030296333891</v>
      </c>
      <c r="J35" s="12">
        <f t="shared" si="5"/>
        <v>-4374.5279881555916</v>
      </c>
      <c r="K35" s="12">
        <f t="shared" si="5"/>
        <v>-4736.3326534360876</v>
      </c>
      <c r="L35" s="12">
        <f t="shared" si="5"/>
        <v>-4838.5421650567914</v>
      </c>
      <c r="M35" s="12">
        <f t="shared" si="5"/>
        <v>-4994.0815669170679</v>
      </c>
      <c r="N35" s="12">
        <f t="shared" si="5"/>
        <v>-5067.3385504883609</v>
      </c>
      <c r="P35" s="12">
        <f>P25-P33</f>
        <v>-40969.920953278372</v>
      </c>
    </row>
    <row r="36" spans="1:16" ht="5.25" customHeight="1" thickBot="1">
      <c r="A36" s="111"/>
    </row>
    <row r="37" spans="1:16" ht="11" thickBot="1">
      <c r="A37" s="108" t="s">
        <v>247</v>
      </c>
      <c r="C37" s="12">
        <f>C17+C35</f>
        <v>-2</v>
      </c>
      <c r="E37" s="12">
        <f t="shared" ref="E37:N37" si="6">E17+E35</f>
        <v>5.6999999999788997E-2</v>
      </c>
      <c r="F37" s="12">
        <f t="shared" si="6"/>
        <v>0</v>
      </c>
      <c r="G37" s="12">
        <f t="shared" si="6"/>
        <v>0</v>
      </c>
      <c r="H37" s="12">
        <f t="shared" si="6"/>
        <v>0</v>
      </c>
      <c r="I37" s="12">
        <f t="shared" si="6"/>
        <v>0</v>
      </c>
      <c r="J37" s="12">
        <f t="shared" si="6"/>
        <v>0</v>
      </c>
      <c r="K37" s="12">
        <f t="shared" si="6"/>
        <v>0</v>
      </c>
      <c r="L37" s="12">
        <f t="shared" si="6"/>
        <v>0</v>
      </c>
      <c r="M37" s="12">
        <f t="shared" si="6"/>
        <v>0</v>
      </c>
      <c r="N37" s="12">
        <f t="shared" si="6"/>
        <v>0</v>
      </c>
      <c r="P37" s="12">
        <f>P17+P35</f>
        <v>5.7000000000698492E-2</v>
      </c>
    </row>
    <row r="38" spans="1:16" ht="11" thickBot="1"/>
    <row r="39" spans="1:16" ht="11" thickBot="1">
      <c r="A39" s="104" t="s">
        <v>248</v>
      </c>
      <c r="B39" s="91"/>
      <c r="C39" s="91" t="s">
        <v>29</v>
      </c>
      <c r="D39" s="91"/>
      <c r="E39" s="91" t="s">
        <v>19</v>
      </c>
      <c r="F39" s="91" t="s">
        <v>20</v>
      </c>
      <c r="G39" s="91" t="s">
        <v>21</v>
      </c>
      <c r="H39" s="91" t="s">
        <v>22</v>
      </c>
      <c r="I39" s="91" t="s">
        <v>23</v>
      </c>
      <c r="J39" s="91" t="s">
        <v>24</v>
      </c>
      <c r="K39" s="91" t="s">
        <v>25</v>
      </c>
      <c r="L39" s="91" t="s">
        <v>26</v>
      </c>
      <c r="M39" s="91" t="s">
        <v>27</v>
      </c>
      <c r="N39" s="91" t="s">
        <v>28</v>
      </c>
      <c r="O39" s="105"/>
    </row>
    <row r="40" spans="1:16" ht="11" thickBot="1">
      <c r="A40" s="5" t="s">
        <v>181</v>
      </c>
      <c r="C40" s="61">
        <f>C$8</f>
        <v>6727</v>
      </c>
      <c r="E40" s="61">
        <f t="shared" ref="E40:N40" si="7">E$8</f>
        <v>6880</v>
      </c>
      <c r="F40" s="61">
        <f t="shared" si="7"/>
        <v>8304</v>
      </c>
      <c r="G40" s="61">
        <f t="shared" si="7"/>
        <v>9474</v>
      </c>
      <c r="H40" s="61">
        <f t="shared" si="7"/>
        <v>10322.915701250451</v>
      </c>
      <c r="I40" s="61">
        <f t="shared" si="7"/>
        <v>11024.591545798281</v>
      </c>
      <c r="J40" s="61">
        <f t="shared" si="7"/>
        <v>11768.135858249638</v>
      </c>
      <c r="K40" s="61">
        <f t="shared" si="7"/>
        <v>12472.338625423343</v>
      </c>
      <c r="L40" s="61">
        <f t="shared" si="7"/>
        <v>12708.41699699237</v>
      </c>
      <c r="M40" s="61">
        <f t="shared" si="7"/>
        <v>13050.677526317335</v>
      </c>
      <c r="N40" s="61">
        <f t="shared" si="7"/>
        <v>13279.779545789024</v>
      </c>
    </row>
    <row r="41" spans="1:16" ht="11" thickBot="1">
      <c r="A41" s="5" t="s">
        <v>249</v>
      </c>
      <c r="C41" s="61">
        <f>C$20+C$21+C$23+C$24</f>
        <v>102</v>
      </c>
      <c r="E41" s="61">
        <f t="shared" ref="E41:N41" si="8">E$20+E$21+E$23+E$24</f>
        <v>749</v>
      </c>
      <c r="F41" s="61">
        <f t="shared" si="8"/>
        <v>255</v>
      </c>
      <c r="G41" s="61">
        <f t="shared" si="8"/>
        <v>260</v>
      </c>
      <c r="H41" s="61">
        <f t="shared" si="8"/>
        <v>264</v>
      </c>
      <c r="I41" s="61">
        <f t="shared" si="8"/>
        <v>267</v>
      </c>
      <c r="J41" s="61">
        <f t="shared" si="8"/>
        <v>268</v>
      </c>
      <c r="K41" s="61">
        <f t="shared" si="8"/>
        <v>270</v>
      </c>
      <c r="L41" s="61">
        <f t="shared" si="8"/>
        <v>272</v>
      </c>
      <c r="M41" s="61">
        <f t="shared" si="8"/>
        <v>274</v>
      </c>
      <c r="N41" s="61">
        <f t="shared" si="8"/>
        <v>276</v>
      </c>
    </row>
    <row r="42" spans="1:16" ht="11" thickBot="1">
      <c r="A42" s="108" t="s">
        <v>250</v>
      </c>
      <c r="C42" s="12">
        <f>SUM(C40:C41)</f>
        <v>6829</v>
      </c>
      <c r="E42" s="12">
        <f t="shared" ref="E42:N42" si="9">SUM(E40:E41)</f>
        <v>7629</v>
      </c>
      <c r="F42" s="12">
        <f t="shared" si="9"/>
        <v>8559</v>
      </c>
      <c r="G42" s="12">
        <f t="shared" si="9"/>
        <v>9734</v>
      </c>
      <c r="H42" s="12">
        <f t="shared" si="9"/>
        <v>10586.915701250451</v>
      </c>
      <c r="I42" s="12">
        <f t="shared" si="9"/>
        <v>11291.591545798281</v>
      </c>
      <c r="J42" s="12">
        <f t="shared" si="9"/>
        <v>12036.135858249638</v>
      </c>
      <c r="K42" s="12">
        <f t="shared" si="9"/>
        <v>12742.338625423343</v>
      </c>
      <c r="L42" s="12">
        <f t="shared" si="9"/>
        <v>12980.41699699237</v>
      </c>
      <c r="M42" s="12">
        <f t="shared" si="9"/>
        <v>13324.677526317335</v>
      </c>
      <c r="N42" s="12">
        <f t="shared" si="9"/>
        <v>13555.779545789024</v>
      </c>
    </row>
    <row r="43" spans="1:16" ht="5.25" customHeight="1" thickBot="1">
      <c r="A43" s="5"/>
      <c r="C43" s="60"/>
      <c r="E43" s="60"/>
      <c r="F43" s="60"/>
      <c r="G43" s="60"/>
      <c r="H43" s="60"/>
      <c r="I43" s="60"/>
      <c r="J43" s="60"/>
      <c r="K43" s="60"/>
      <c r="L43" s="60"/>
      <c r="M43" s="60"/>
      <c r="N43" s="60"/>
    </row>
    <row r="44" spans="1:16" ht="11" thickBot="1">
      <c r="A44" s="5" t="s">
        <v>251</v>
      </c>
      <c r="C44" s="61">
        <f>C$11+C$14</f>
        <v>2300</v>
      </c>
      <c r="E44" s="61">
        <f t="shared" ref="E44:N44" si="10">E$11+E$14</f>
        <v>2227</v>
      </c>
      <c r="F44" s="61">
        <f t="shared" si="10"/>
        <v>2351</v>
      </c>
      <c r="G44" s="61">
        <f t="shared" si="10"/>
        <v>2465</v>
      </c>
      <c r="H44" s="61">
        <f t="shared" si="10"/>
        <v>2752.5064006765856</v>
      </c>
      <c r="I44" s="61">
        <f t="shared" si="10"/>
        <v>2827.4440606935</v>
      </c>
      <c r="J44" s="61">
        <f t="shared" si="10"/>
        <v>2885.6825316456361</v>
      </c>
      <c r="K44" s="61">
        <f t="shared" si="10"/>
        <v>3016.8640651450746</v>
      </c>
      <c r="L44" s="61">
        <f t="shared" si="10"/>
        <v>2968.507730785992</v>
      </c>
      <c r="M44" s="61">
        <f t="shared" si="10"/>
        <v>3016.0252120206219</v>
      </c>
      <c r="N44" s="61">
        <f t="shared" si="10"/>
        <v>3078.1242204714322</v>
      </c>
    </row>
    <row r="45" spans="1:16" ht="11" thickBot="1">
      <c r="A45" s="5" t="s">
        <v>230</v>
      </c>
      <c r="C45" s="61">
        <f>C$12</f>
        <v>825</v>
      </c>
      <c r="E45" s="61">
        <f t="shared" ref="E45:N45" si="11">E$12</f>
        <v>778.94299999999998</v>
      </c>
      <c r="F45" s="61">
        <f t="shared" si="11"/>
        <v>1000</v>
      </c>
      <c r="G45" s="61">
        <f t="shared" si="11"/>
        <v>1206</v>
      </c>
      <c r="H45" s="61">
        <f t="shared" si="11"/>
        <v>2154.6143009827838</v>
      </c>
      <c r="I45" s="61">
        <f t="shared" si="11"/>
        <v>2388.8444554713919</v>
      </c>
      <c r="J45" s="61">
        <f t="shared" si="11"/>
        <v>2581.9253384484118</v>
      </c>
      <c r="K45" s="61">
        <f t="shared" si="11"/>
        <v>2774.1419068421815</v>
      </c>
      <c r="L45" s="61">
        <f t="shared" si="11"/>
        <v>2913.3671011495862</v>
      </c>
      <c r="M45" s="61">
        <f t="shared" si="11"/>
        <v>2989.5707473796456</v>
      </c>
      <c r="N45" s="61">
        <f t="shared" si="11"/>
        <v>3056.3167748292308</v>
      </c>
    </row>
    <row r="46" spans="1:16" ht="11" thickBot="1">
      <c r="A46" s="5" t="s">
        <v>252</v>
      </c>
      <c r="C46" s="61">
        <f>C$13</f>
        <v>2252</v>
      </c>
      <c r="E46" s="61">
        <f t="shared" ref="E46:N46" si="12">E$13</f>
        <v>1673</v>
      </c>
      <c r="F46" s="61">
        <f t="shared" si="12"/>
        <v>1738</v>
      </c>
      <c r="G46" s="61">
        <f t="shared" si="12"/>
        <v>1812</v>
      </c>
      <c r="H46" s="61">
        <f t="shared" si="12"/>
        <v>1808</v>
      </c>
      <c r="I46" s="61">
        <f t="shared" si="12"/>
        <v>1864</v>
      </c>
      <c r="J46" s="61">
        <f t="shared" si="12"/>
        <v>1926</v>
      </c>
      <c r="K46" s="61">
        <f t="shared" si="12"/>
        <v>1945</v>
      </c>
      <c r="L46" s="61">
        <f t="shared" si="12"/>
        <v>1988</v>
      </c>
      <c r="M46" s="61">
        <f t="shared" si="12"/>
        <v>2051</v>
      </c>
      <c r="N46" s="61">
        <f t="shared" si="12"/>
        <v>2078</v>
      </c>
    </row>
    <row r="47" spans="1:16" ht="11" thickBot="1">
      <c r="A47" s="5" t="s">
        <v>253</v>
      </c>
      <c r="C47" s="61">
        <f>'5. Financials - drinking water'!C47+'6. Financials - wastewater'!C47+'7. Financials - stormwater'!C47</f>
        <v>2271</v>
      </c>
      <c r="E47" s="61">
        <f>'5. Financials - drinking water'!E47+'6. Financials - wastewater'!E47+'7. Financials - stormwater'!E47</f>
        <v>2271</v>
      </c>
      <c r="F47" s="61">
        <f>'5. Financials - drinking water'!F47+'6. Financials - wastewater'!F47+'7. Financials - stormwater'!F47</f>
        <v>2395</v>
      </c>
      <c r="G47" s="61">
        <f>'5. Financials - drinking water'!G47+'6. Financials - wastewater'!G47+'7. Financials - stormwater'!G47</f>
        <v>2783</v>
      </c>
      <c r="H47" s="61">
        <f>'5. Financials - drinking water'!H47+'6. Financials - wastewater'!H47+'7. Financials - stormwater'!H47</f>
        <v>2859</v>
      </c>
      <c r="I47" s="61">
        <f>'5. Financials - drinking water'!I47+'6. Financials - wastewater'!I47+'7. Financials - stormwater'!I47</f>
        <v>3155</v>
      </c>
      <c r="J47" s="61">
        <f>'5. Financials - drinking water'!J47+'6. Financials - wastewater'!J47+'7. Financials - stormwater'!J47</f>
        <v>3251</v>
      </c>
      <c r="K47" s="61">
        <f>'5. Financials - drinking water'!K47+'6. Financials - wastewater'!K47+'7. Financials - stormwater'!K47</f>
        <v>3327.8640720720718</v>
      </c>
      <c r="L47" s="61">
        <f>'5. Financials - drinking water'!L47+'6. Financials - wastewater'!L47+'7. Financials - stormwater'!L47</f>
        <v>3596.3958940060061</v>
      </c>
      <c r="M47" s="61">
        <f>'5. Financials - drinking water'!M47+'6. Financials - wastewater'!M47+'7. Financials - stormwater'!M47</f>
        <v>3600.7281237348711</v>
      </c>
      <c r="N47" s="61">
        <f>'5. Financials - drinking water'!N47+'6. Financials - wastewater'!N47+'7. Financials - stormwater'!N47</f>
        <v>3594.6114199412204</v>
      </c>
    </row>
    <row r="48" spans="1:16" ht="11" thickBot="1">
      <c r="A48" s="108" t="s">
        <v>254</v>
      </c>
      <c r="C48" s="12">
        <f>SUM(C44:C47)</f>
        <v>7648</v>
      </c>
      <c r="E48" s="12">
        <f t="shared" ref="E48:N48" si="13">SUM(E44:E47)</f>
        <v>6949.9430000000002</v>
      </c>
      <c r="F48" s="12">
        <f t="shared" si="13"/>
        <v>7484</v>
      </c>
      <c r="G48" s="12">
        <f t="shared" si="13"/>
        <v>8266</v>
      </c>
      <c r="H48" s="12">
        <f t="shared" si="13"/>
        <v>9574.1207016593689</v>
      </c>
      <c r="I48" s="12">
        <f t="shared" si="13"/>
        <v>10235.288516164892</v>
      </c>
      <c r="J48" s="12">
        <f t="shared" si="13"/>
        <v>10644.607870094049</v>
      </c>
      <c r="K48" s="12">
        <f t="shared" si="13"/>
        <v>11063.870044059327</v>
      </c>
      <c r="L48" s="12">
        <f t="shared" si="13"/>
        <v>11466.270725941584</v>
      </c>
      <c r="M48" s="12">
        <f t="shared" si="13"/>
        <v>11657.324083135138</v>
      </c>
      <c r="N48" s="12">
        <f t="shared" si="13"/>
        <v>11807.052415241884</v>
      </c>
    </row>
    <row r="49" spans="1:15" ht="5.25" customHeight="1" thickBot="1">
      <c r="A49" s="5"/>
      <c r="C49" s="61"/>
      <c r="E49" s="60"/>
      <c r="F49" s="60"/>
      <c r="G49" s="60"/>
      <c r="H49" s="60"/>
      <c r="I49" s="60"/>
      <c r="J49" s="60"/>
      <c r="K49" s="60"/>
      <c r="L49" s="60"/>
      <c r="M49" s="60"/>
      <c r="N49" s="60"/>
    </row>
    <row r="50" spans="1:15" ht="11" thickBot="1">
      <c r="A50" s="108" t="s">
        <v>255</v>
      </c>
      <c r="C50" s="12">
        <f>C42-C48</f>
        <v>-819</v>
      </c>
      <c r="E50" s="12">
        <f t="shared" ref="E50:N50" si="14">E42-E48</f>
        <v>679.05699999999979</v>
      </c>
      <c r="F50" s="12">
        <f t="shared" si="14"/>
        <v>1075</v>
      </c>
      <c r="G50" s="12">
        <f t="shared" si="14"/>
        <v>1468</v>
      </c>
      <c r="H50" s="12">
        <f t="shared" si="14"/>
        <v>1012.7949995910822</v>
      </c>
      <c r="I50" s="12">
        <f t="shared" si="14"/>
        <v>1056.3030296333891</v>
      </c>
      <c r="J50" s="12">
        <f t="shared" si="14"/>
        <v>1391.5279881555889</v>
      </c>
      <c r="K50" s="12">
        <f t="shared" si="14"/>
        <v>1678.4685813640153</v>
      </c>
      <c r="L50" s="12">
        <f t="shared" si="14"/>
        <v>1514.1462710507858</v>
      </c>
      <c r="M50" s="12">
        <f t="shared" si="14"/>
        <v>1667.3534431821972</v>
      </c>
      <c r="N50" s="12">
        <f t="shared" si="14"/>
        <v>1748.7271305471404</v>
      </c>
    </row>
    <row r="51" spans="1:15" ht="5.25" customHeight="1" thickBot="1">
      <c r="A51" s="5"/>
      <c r="C51" s="61"/>
      <c r="E51" s="60"/>
      <c r="F51" s="60"/>
      <c r="G51" s="60"/>
      <c r="H51" s="60"/>
      <c r="I51" s="60"/>
      <c r="J51" s="60"/>
      <c r="K51" s="60"/>
      <c r="L51" s="60"/>
      <c r="M51" s="60"/>
      <c r="N51" s="60"/>
    </row>
    <row r="52" spans="1:15" ht="11" thickBot="1">
      <c r="A52" s="5" t="s">
        <v>256</v>
      </c>
      <c r="C52" s="61">
        <f>'5. Financials - drinking water'!C52+'6. Financials - wastewater'!C52+'7. Financials - stormwater'!C52</f>
        <v>0</v>
      </c>
      <c r="E52" s="61">
        <f>'5. Financials - drinking water'!E52+'6. Financials - wastewater'!E52+'7. Financials - stormwater'!E52</f>
        <v>0</v>
      </c>
      <c r="F52" s="61">
        <f>'5. Financials - drinking water'!F52+'6. Financials - wastewater'!F52+'7. Financials - stormwater'!F52</f>
        <v>3718.3525919999993</v>
      </c>
      <c r="G52" s="61">
        <f>'5. Financials - drinking water'!G52+'6. Financials - wastewater'!G52+'7. Financials - stormwater'!G52</f>
        <v>0</v>
      </c>
      <c r="H52" s="61">
        <f>'5. Financials - drinking water'!H52+'6. Financials - wastewater'!H52+'7. Financials - stormwater'!H52</f>
        <v>4235.4606885631883</v>
      </c>
      <c r="I52" s="61">
        <f>'5. Financials - drinking water'!I52+'6. Financials - wastewater'!I52+'7. Financials - stormwater'!I52</f>
        <v>0</v>
      </c>
      <c r="J52" s="61">
        <f>'5. Financials - drinking water'!J52+'6. Financials - wastewater'!J52+'7. Financials - stormwater'!J52</f>
        <v>4878.0515387159212</v>
      </c>
      <c r="K52" s="61">
        <f>'5. Financials - drinking water'!K52+'6. Financials - wastewater'!K52+'7. Financials - stormwater'!K52</f>
        <v>0</v>
      </c>
      <c r="L52" s="61">
        <f>'5. Financials - drinking water'!L52+'6. Financials - wastewater'!L52+'7. Financials - stormwater'!L52</f>
        <v>5480.115862391769</v>
      </c>
      <c r="M52" s="61">
        <f>'5. Financials - drinking water'!M52+'6. Financials - wastewater'!M52+'7. Financials - stormwater'!M52</f>
        <v>0</v>
      </c>
      <c r="N52" s="61">
        <f>'5. Financials - drinking water'!N52+'6. Financials - wastewater'!N52+'7. Financials - stormwater'!N52</f>
        <v>6027.0301689368744</v>
      </c>
    </row>
    <row r="53" spans="1:15" ht="11" thickBot="1">
      <c r="A53" s="108" t="s">
        <v>257</v>
      </c>
      <c r="C53" s="12">
        <f>C50+C52</f>
        <v>-819</v>
      </c>
      <c r="E53" s="12">
        <f t="shared" ref="E53:N53" si="15">E50+E52</f>
        <v>679.05699999999979</v>
      </c>
      <c r="F53" s="12">
        <f t="shared" si="15"/>
        <v>4793.3525919999993</v>
      </c>
      <c r="G53" s="12">
        <f t="shared" si="15"/>
        <v>1468</v>
      </c>
      <c r="H53" s="12">
        <f t="shared" si="15"/>
        <v>5248.2556881542705</v>
      </c>
      <c r="I53" s="12">
        <f t="shared" si="15"/>
        <v>1056.3030296333891</v>
      </c>
      <c r="J53" s="12">
        <f t="shared" si="15"/>
        <v>6269.5795268715101</v>
      </c>
      <c r="K53" s="12">
        <f t="shared" si="15"/>
        <v>1678.4685813640153</v>
      </c>
      <c r="L53" s="12">
        <f t="shared" si="15"/>
        <v>6994.2621334425548</v>
      </c>
      <c r="M53" s="12">
        <f t="shared" si="15"/>
        <v>1667.3534431821972</v>
      </c>
      <c r="N53" s="12">
        <f t="shared" si="15"/>
        <v>7775.7572994840148</v>
      </c>
    </row>
    <row r="54" spans="1:15" ht="5.25" customHeight="1" thickBot="1">
      <c r="A54" s="5"/>
      <c r="C54" s="61"/>
      <c r="E54" s="60"/>
      <c r="F54" s="60"/>
      <c r="G54" s="60"/>
      <c r="H54" s="60"/>
      <c r="I54" s="60"/>
      <c r="J54" s="60"/>
      <c r="K54" s="60"/>
      <c r="L54" s="60"/>
      <c r="M54" s="60"/>
      <c r="N54" s="60"/>
    </row>
    <row r="55" spans="1:15" ht="11" thickBot="1">
      <c r="A55" s="108" t="s">
        <v>258</v>
      </c>
      <c r="C55" s="12">
        <f>C50+C47</f>
        <v>1452</v>
      </c>
      <c r="E55" s="12">
        <f t="shared" ref="E55:N55" si="16">E50+E47</f>
        <v>2950.0569999999998</v>
      </c>
      <c r="F55" s="12">
        <f t="shared" si="16"/>
        <v>3470</v>
      </c>
      <c r="G55" s="12">
        <f t="shared" si="16"/>
        <v>4251</v>
      </c>
      <c r="H55" s="12">
        <f t="shared" si="16"/>
        <v>3871.7949995910822</v>
      </c>
      <c r="I55" s="12">
        <f t="shared" si="16"/>
        <v>4211.3030296333891</v>
      </c>
      <c r="J55" s="12">
        <f t="shared" si="16"/>
        <v>4642.5279881555889</v>
      </c>
      <c r="K55" s="12">
        <f t="shared" si="16"/>
        <v>5006.3326534360876</v>
      </c>
      <c r="L55" s="12">
        <f t="shared" si="16"/>
        <v>5110.5421650567914</v>
      </c>
      <c r="M55" s="12">
        <f t="shared" si="16"/>
        <v>5268.0815669170679</v>
      </c>
      <c r="N55" s="12">
        <f t="shared" si="16"/>
        <v>5343.3385504883609</v>
      </c>
    </row>
    <row r="56" spans="1:15" ht="11" thickBot="1"/>
    <row r="57" spans="1:15" ht="11" thickBot="1">
      <c r="A57" s="104" t="s">
        <v>259</v>
      </c>
      <c r="B57" s="91"/>
      <c r="C57" s="91" t="s">
        <v>29</v>
      </c>
      <c r="D57" s="91"/>
      <c r="E57" s="91" t="s">
        <v>19</v>
      </c>
      <c r="F57" s="91" t="s">
        <v>20</v>
      </c>
      <c r="G57" s="91" t="s">
        <v>21</v>
      </c>
      <c r="H57" s="91" t="s">
        <v>22</v>
      </c>
      <c r="I57" s="91" t="s">
        <v>23</v>
      </c>
      <c r="J57" s="91" t="s">
        <v>24</v>
      </c>
      <c r="K57" s="91" t="s">
        <v>25</v>
      </c>
      <c r="L57" s="91" t="s">
        <v>26</v>
      </c>
      <c r="M57" s="91" t="s">
        <v>27</v>
      </c>
      <c r="N57" s="91" t="s">
        <v>28</v>
      </c>
    </row>
    <row r="58" spans="1:15" ht="11" thickBot="1">
      <c r="A58" s="106" t="s">
        <v>260</v>
      </c>
      <c r="C58" s="4"/>
      <c r="E58" s="4"/>
      <c r="F58" s="4"/>
      <c r="G58" s="4"/>
      <c r="H58" s="4"/>
      <c r="I58" s="4"/>
      <c r="J58" s="4"/>
      <c r="K58" s="4"/>
      <c r="L58" s="4"/>
      <c r="M58" s="4"/>
      <c r="N58" s="4"/>
      <c r="O58" s="105"/>
    </row>
    <row r="59" spans="1:15" ht="11" thickBot="1">
      <c r="A59" s="5" t="s">
        <v>261</v>
      </c>
      <c r="C59" s="61">
        <f>C$55</f>
        <v>1452</v>
      </c>
      <c r="E59" s="61">
        <f t="shared" ref="E59:N59" si="17">E$55</f>
        <v>2950.0569999999998</v>
      </c>
      <c r="F59" s="61">
        <f t="shared" si="17"/>
        <v>3470</v>
      </c>
      <c r="G59" s="61">
        <f t="shared" si="17"/>
        <v>4251</v>
      </c>
      <c r="H59" s="61">
        <f t="shared" si="17"/>
        <v>3871.7949995910822</v>
      </c>
      <c r="I59" s="61">
        <f t="shared" si="17"/>
        <v>4211.3030296333891</v>
      </c>
      <c r="J59" s="61">
        <f t="shared" si="17"/>
        <v>4642.5279881555889</v>
      </c>
      <c r="K59" s="61">
        <f t="shared" si="17"/>
        <v>5006.3326534360876</v>
      </c>
      <c r="L59" s="61">
        <f t="shared" si="17"/>
        <v>5110.5421650567914</v>
      </c>
      <c r="M59" s="61">
        <f t="shared" si="17"/>
        <v>5268.0815669170679</v>
      </c>
      <c r="N59" s="61">
        <f t="shared" si="17"/>
        <v>5343.3385504883609</v>
      </c>
    </row>
    <row r="60" spans="1:15" ht="11" thickBot="1">
      <c r="A60" s="5" t="s">
        <v>262</v>
      </c>
      <c r="C60" s="61"/>
      <c r="E60" s="61"/>
      <c r="F60" s="61"/>
      <c r="G60" s="61"/>
      <c r="H60" s="61"/>
      <c r="I60" s="61"/>
      <c r="J60" s="61"/>
      <c r="K60" s="61"/>
      <c r="L60" s="61"/>
      <c r="M60" s="61"/>
      <c r="N60" s="61"/>
    </row>
    <row r="61" spans="1:15" ht="11" thickBot="1">
      <c r="A61" s="108" t="s">
        <v>263</v>
      </c>
      <c r="C61" s="12">
        <f>SUM(C59:C60)</f>
        <v>1452</v>
      </c>
      <c r="E61" s="12">
        <f t="shared" ref="E61:N61" si="18">SUM(E59:E60)</f>
        <v>2950.0569999999998</v>
      </c>
      <c r="F61" s="12">
        <f t="shared" si="18"/>
        <v>3470</v>
      </c>
      <c r="G61" s="12">
        <f t="shared" si="18"/>
        <v>4251</v>
      </c>
      <c r="H61" s="12">
        <f t="shared" si="18"/>
        <v>3871.7949995910822</v>
      </c>
      <c r="I61" s="12">
        <f t="shared" si="18"/>
        <v>4211.3030296333891</v>
      </c>
      <c r="J61" s="12">
        <f t="shared" si="18"/>
        <v>4642.5279881555889</v>
      </c>
      <c r="K61" s="12">
        <f t="shared" si="18"/>
        <v>5006.3326534360876</v>
      </c>
      <c r="L61" s="12">
        <f t="shared" si="18"/>
        <v>5110.5421650567914</v>
      </c>
      <c r="M61" s="12">
        <f t="shared" si="18"/>
        <v>5268.0815669170679</v>
      </c>
      <c r="N61" s="12">
        <f t="shared" si="18"/>
        <v>5343.3385504883609</v>
      </c>
    </row>
    <row r="62" spans="1:15" ht="5.25" customHeight="1" thickBot="1">
      <c r="A62" s="5"/>
      <c r="C62" s="61"/>
      <c r="E62" s="60"/>
      <c r="F62" s="60"/>
      <c r="G62" s="60"/>
      <c r="H62" s="60"/>
      <c r="I62" s="60"/>
      <c r="J62" s="60"/>
      <c r="K62" s="60"/>
      <c r="L62" s="60"/>
      <c r="M62" s="60"/>
      <c r="N62" s="60"/>
    </row>
    <row r="63" spans="1:15" ht="11" thickBot="1">
      <c r="A63" s="106" t="s">
        <v>264</v>
      </c>
      <c r="C63" s="4"/>
      <c r="E63" s="4"/>
      <c r="F63" s="4"/>
      <c r="G63" s="4"/>
      <c r="H63" s="4"/>
      <c r="I63" s="4"/>
      <c r="J63" s="4"/>
      <c r="K63" s="4"/>
      <c r="L63" s="4"/>
      <c r="M63" s="4"/>
      <c r="N63" s="4"/>
      <c r="O63" s="105"/>
    </row>
    <row r="64" spans="1:15" ht="11" thickBot="1">
      <c r="A64" s="5" t="s">
        <v>262</v>
      </c>
      <c r="C64" s="61">
        <f>-C32</f>
        <v>0</v>
      </c>
      <c r="E64" s="61">
        <f>-E32</f>
        <v>0</v>
      </c>
      <c r="F64" s="61">
        <f t="shared" ref="F64:N64" si="19">-F32</f>
        <v>0</v>
      </c>
      <c r="G64" s="61">
        <f t="shared" si="19"/>
        <v>0</v>
      </c>
      <c r="H64" s="61">
        <f t="shared" si="19"/>
        <v>-1250</v>
      </c>
      <c r="I64" s="61">
        <f t="shared" si="19"/>
        <v>0</v>
      </c>
      <c r="J64" s="61">
        <f t="shared" si="19"/>
        <v>0</v>
      </c>
      <c r="K64" s="61">
        <f t="shared" si="19"/>
        <v>0</v>
      </c>
      <c r="L64" s="61">
        <f t="shared" si="19"/>
        <v>0</v>
      </c>
      <c r="M64" s="61">
        <f t="shared" si="19"/>
        <v>0</v>
      </c>
      <c r="N64" s="61">
        <f t="shared" si="19"/>
        <v>0</v>
      </c>
    </row>
    <row r="65" spans="1:15" ht="11" thickBot="1">
      <c r="A65" s="5" t="s">
        <v>171</v>
      </c>
      <c r="C65" s="61">
        <f>-SUM(C$28:C$30)</f>
        <v>-9884</v>
      </c>
      <c r="E65" s="61">
        <f t="shared" ref="E65:N65" si="20">-SUM(E$28:E$30)</f>
        <v>-5630</v>
      </c>
      <c r="F65" s="61">
        <f t="shared" si="20"/>
        <v>-6875</v>
      </c>
      <c r="G65" s="61">
        <f t="shared" si="20"/>
        <v>-6515</v>
      </c>
      <c r="H65" s="61">
        <f t="shared" si="20"/>
        <v>-6875</v>
      </c>
      <c r="I65" s="61">
        <f t="shared" si="20"/>
        <v>-7859</v>
      </c>
      <c r="J65" s="61">
        <f t="shared" si="20"/>
        <v>-7533.9413333333332</v>
      </c>
      <c r="K65" s="61">
        <f t="shared" si="20"/>
        <v>-8634.3548231111108</v>
      </c>
      <c r="L65" s="61">
        <f t="shared" si="20"/>
        <v>-6142.5849999359998</v>
      </c>
      <c r="M65" s="61">
        <f t="shared" si="20"/>
        <v>-6833.3639192698884</v>
      </c>
      <c r="N65" s="61">
        <f t="shared" si="20"/>
        <v>-6085.6698072379877</v>
      </c>
    </row>
    <row r="66" spans="1:15" ht="11" thickBot="1">
      <c r="A66" s="108" t="s">
        <v>265</v>
      </c>
      <c r="C66" s="12">
        <f>SUM(C64:C65)</f>
        <v>-9884</v>
      </c>
      <c r="E66" s="12">
        <f t="shared" ref="E66:N66" si="21">SUM(E64:E65)</f>
        <v>-5630</v>
      </c>
      <c r="F66" s="12">
        <f t="shared" si="21"/>
        <v>-6875</v>
      </c>
      <c r="G66" s="12">
        <f t="shared" si="21"/>
        <v>-6515</v>
      </c>
      <c r="H66" s="12">
        <f t="shared" si="21"/>
        <v>-8125</v>
      </c>
      <c r="I66" s="12">
        <f t="shared" si="21"/>
        <v>-7859</v>
      </c>
      <c r="J66" s="12">
        <f t="shared" si="21"/>
        <v>-7533.9413333333332</v>
      </c>
      <c r="K66" s="12">
        <f t="shared" si="21"/>
        <v>-8634.3548231111108</v>
      </c>
      <c r="L66" s="12">
        <f t="shared" si="21"/>
        <v>-6142.5849999359998</v>
      </c>
      <c r="M66" s="12">
        <f t="shared" si="21"/>
        <v>-6833.3639192698884</v>
      </c>
      <c r="N66" s="12">
        <f t="shared" si="21"/>
        <v>-6085.6698072379877</v>
      </c>
    </row>
    <row r="67" spans="1:15" ht="5.25" customHeight="1" thickBot="1">
      <c r="A67" s="5"/>
      <c r="C67" s="61"/>
      <c r="E67" s="60"/>
      <c r="F67" s="60"/>
      <c r="G67" s="60"/>
      <c r="H67" s="60"/>
      <c r="I67" s="60"/>
      <c r="J67" s="60"/>
      <c r="K67" s="60"/>
      <c r="L67" s="60"/>
      <c r="M67" s="60"/>
      <c r="N67" s="60"/>
    </row>
    <row r="68" spans="1:15" ht="11" thickBot="1">
      <c r="A68" s="106" t="s">
        <v>266</v>
      </c>
      <c r="C68" s="4"/>
      <c r="E68" s="4"/>
      <c r="F68" s="4"/>
      <c r="G68" s="4"/>
      <c r="H68" s="4"/>
      <c r="I68" s="4"/>
      <c r="J68" s="4"/>
      <c r="K68" s="4"/>
      <c r="L68" s="4"/>
      <c r="M68" s="4"/>
      <c r="N68" s="4"/>
      <c r="O68" s="105"/>
    </row>
    <row r="69" spans="1:15" ht="11" thickBot="1">
      <c r="A69" s="5" t="s">
        <v>267</v>
      </c>
      <c r="C69" s="61">
        <f>C$22-C$70-C$31</f>
        <v>8430</v>
      </c>
      <c r="E69" s="61">
        <f>E$22-E$70-E$31</f>
        <v>2680</v>
      </c>
      <c r="F69" s="61">
        <f t="shared" ref="F69:N69" si="22">F$22-F$70-F$31</f>
        <v>3405</v>
      </c>
      <c r="G69" s="61">
        <f t="shared" si="22"/>
        <v>2264</v>
      </c>
      <c r="H69" s="61">
        <f>H$22-H$70-H$31</f>
        <v>4253.2050004089169</v>
      </c>
      <c r="I69" s="61">
        <f t="shared" si="22"/>
        <v>3647.6969703666109</v>
      </c>
      <c r="J69" s="61">
        <f t="shared" si="22"/>
        <v>2891.4133451777407</v>
      </c>
      <c r="K69" s="61">
        <f t="shared" si="22"/>
        <v>3628.0221696750232</v>
      </c>
      <c r="L69" s="61">
        <f t="shared" si="22"/>
        <v>1032.0428348792086</v>
      </c>
      <c r="M69" s="61">
        <f t="shared" si="22"/>
        <v>1565.2823523528209</v>
      </c>
      <c r="N69" s="61">
        <f t="shared" si="22"/>
        <v>742.33125674962662</v>
      </c>
    </row>
    <row r="70" spans="1:15" ht="11" thickBot="1">
      <c r="A70" s="5" t="s">
        <v>268</v>
      </c>
      <c r="C70" s="61"/>
      <c r="E70" s="61"/>
      <c r="F70" s="61"/>
      <c r="G70" s="61"/>
      <c r="H70" s="61"/>
      <c r="I70" s="61"/>
      <c r="J70" s="61"/>
      <c r="K70" s="61"/>
      <c r="L70" s="61"/>
      <c r="M70" s="61"/>
      <c r="N70" s="61"/>
    </row>
    <row r="71" spans="1:15" ht="11" thickBot="1">
      <c r="A71" s="108" t="s">
        <v>269</v>
      </c>
      <c r="C71" s="12">
        <f>SUM(C69:C70)</f>
        <v>8430</v>
      </c>
      <c r="E71" s="12">
        <f t="shared" ref="E71:N71" si="23">SUM(E69:E70)</f>
        <v>2680</v>
      </c>
      <c r="F71" s="12">
        <f t="shared" si="23"/>
        <v>3405</v>
      </c>
      <c r="G71" s="12">
        <f t="shared" si="23"/>
        <v>2264</v>
      </c>
      <c r="H71" s="12">
        <f t="shared" si="23"/>
        <v>4253.2050004089169</v>
      </c>
      <c r="I71" s="12">
        <f t="shared" si="23"/>
        <v>3647.6969703666109</v>
      </c>
      <c r="J71" s="12">
        <f t="shared" si="23"/>
        <v>2891.4133451777407</v>
      </c>
      <c r="K71" s="12">
        <f t="shared" si="23"/>
        <v>3628.0221696750232</v>
      </c>
      <c r="L71" s="12">
        <f t="shared" si="23"/>
        <v>1032.0428348792086</v>
      </c>
      <c r="M71" s="12">
        <f t="shared" si="23"/>
        <v>1565.2823523528209</v>
      </c>
      <c r="N71" s="12">
        <f t="shared" si="23"/>
        <v>742.33125674962662</v>
      </c>
    </row>
    <row r="72" spans="1:15" ht="5.25" customHeight="1" thickBot="1">
      <c r="A72" s="5"/>
      <c r="C72" s="60"/>
      <c r="E72" s="60"/>
      <c r="F72" s="60"/>
      <c r="G72" s="60"/>
      <c r="H72" s="60"/>
      <c r="I72" s="60"/>
      <c r="J72" s="60"/>
      <c r="K72" s="60"/>
      <c r="L72" s="60"/>
      <c r="M72" s="60"/>
      <c r="N72" s="60"/>
    </row>
    <row r="73" spans="1:15" ht="11" thickBot="1">
      <c r="A73" s="108" t="s">
        <v>270</v>
      </c>
      <c r="C73" s="12">
        <f>C61+C66+C71</f>
        <v>-2</v>
      </c>
      <c r="E73" s="12">
        <f t="shared" ref="E73:N73" si="24">E61+E66+E71</f>
        <v>5.6999999999788997E-2</v>
      </c>
      <c r="F73" s="12">
        <f t="shared" si="24"/>
        <v>0</v>
      </c>
      <c r="G73" s="12">
        <f t="shared" si="24"/>
        <v>0</v>
      </c>
      <c r="H73" s="12">
        <f t="shared" si="24"/>
        <v>0</v>
      </c>
      <c r="I73" s="12">
        <f t="shared" si="24"/>
        <v>0</v>
      </c>
      <c r="J73" s="12">
        <f t="shared" si="24"/>
        <v>-3.637978807091713E-12</v>
      </c>
      <c r="K73" s="12">
        <f t="shared" si="24"/>
        <v>0</v>
      </c>
      <c r="L73" s="12">
        <f t="shared" si="24"/>
        <v>0</v>
      </c>
      <c r="M73" s="12">
        <f t="shared" si="24"/>
        <v>0</v>
      </c>
      <c r="N73" s="12">
        <f t="shared" si="24"/>
        <v>0</v>
      </c>
    </row>
    <row r="74" spans="1:15" ht="5.25" customHeight="1" thickBot="1">
      <c r="A74" s="5"/>
      <c r="C74" s="60"/>
      <c r="E74" s="60"/>
      <c r="F74" s="60"/>
      <c r="G74" s="60"/>
      <c r="H74" s="60"/>
      <c r="I74" s="60"/>
      <c r="J74" s="60"/>
      <c r="K74" s="60"/>
      <c r="L74" s="60"/>
      <c r="M74" s="60"/>
      <c r="N74" s="60"/>
    </row>
    <row r="75" spans="1:15" ht="11" thickBot="1">
      <c r="A75" s="108" t="s">
        <v>271</v>
      </c>
      <c r="C75" s="12">
        <f>C76-C73</f>
        <v>1617</v>
      </c>
      <c r="E75" s="12">
        <f>C76</f>
        <v>1615</v>
      </c>
      <c r="F75" s="12">
        <f t="shared" ref="F75:N75" si="25">E76</f>
        <v>1615.0569999999998</v>
      </c>
      <c r="G75" s="12">
        <f t="shared" si="25"/>
        <v>1615.0569999999998</v>
      </c>
      <c r="H75" s="12">
        <f t="shared" si="25"/>
        <v>1615.0569999999998</v>
      </c>
      <c r="I75" s="12">
        <f t="shared" si="25"/>
        <v>1615.0569999999998</v>
      </c>
      <c r="J75" s="12">
        <f t="shared" si="25"/>
        <v>1615.0569999999998</v>
      </c>
      <c r="K75" s="12">
        <f t="shared" si="25"/>
        <v>1615.0569999999962</v>
      </c>
      <c r="L75" s="12">
        <f t="shared" si="25"/>
        <v>1615.0569999999962</v>
      </c>
      <c r="M75" s="12">
        <f t="shared" si="25"/>
        <v>1615.0569999999962</v>
      </c>
      <c r="N75" s="12">
        <f t="shared" si="25"/>
        <v>1615.0569999999962</v>
      </c>
    </row>
    <row r="76" spans="1:15" ht="11" thickBot="1">
      <c r="A76" s="108" t="s">
        <v>272</v>
      </c>
      <c r="C76" s="12">
        <f>C80</f>
        <v>1615</v>
      </c>
      <c r="E76" s="12">
        <f t="shared" ref="E76:N76" si="26">E73+E75</f>
        <v>1615.0569999999998</v>
      </c>
      <c r="F76" s="12">
        <f t="shared" si="26"/>
        <v>1615.0569999999998</v>
      </c>
      <c r="G76" s="12">
        <f t="shared" si="26"/>
        <v>1615.0569999999998</v>
      </c>
      <c r="H76" s="12">
        <f>H73+H75</f>
        <v>1615.0569999999998</v>
      </c>
      <c r="I76" s="12">
        <f t="shared" si="26"/>
        <v>1615.0569999999998</v>
      </c>
      <c r="J76" s="12">
        <f t="shared" si="26"/>
        <v>1615.0569999999962</v>
      </c>
      <c r="K76" s="12">
        <f t="shared" si="26"/>
        <v>1615.0569999999962</v>
      </c>
      <c r="L76" s="12">
        <f t="shared" si="26"/>
        <v>1615.0569999999962</v>
      </c>
      <c r="M76" s="12">
        <f t="shared" si="26"/>
        <v>1615.0569999999962</v>
      </c>
      <c r="N76" s="12">
        <f t="shared" si="26"/>
        <v>1615.0569999999962</v>
      </c>
    </row>
    <row r="77" spans="1:15" ht="11" thickBot="1"/>
    <row r="78" spans="1:15" ht="11" thickBot="1">
      <c r="A78" s="104" t="s">
        <v>273</v>
      </c>
      <c r="B78" s="91"/>
      <c r="C78" s="91" t="s">
        <v>29</v>
      </c>
      <c r="D78" s="91"/>
      <c r="E78" s="91" t="s">
        <v>19</v>
      </c>
      <c r="F78" s="91" t="s">
        <v>20</v>
      </c>
      <c r="G78" s="91" t="s">
        <v>21</v>
      </c>
      <c r="H78" s="91" t="s">
        <v>22</v>
      </c>
      <c r="I78" s="91" t="s">
        <v>23</v>
      </c>
      <c r="J78" s="91" t="s">
        <v>24</v>
      </c>
      <c r="K78" s="91" t="s">
        <v>25</v>
      </c>
      <c r="L78" s="91" t="s">
        <v>26</v>
      </c>
      <c r="M78" s="91" t="s">
        <v>27</v>
      </c>
      <c r="N78" s="91" t="s">
        <v>28</v>
      </c>
      <c r="O78" s="105"/>
    </row>
    <row r="79" spans="1:15" ht="11" thickBot="1">
      <c r="A79" s="106" t="s">
        <v>274</v>
      </c>
      <c r="C79" s="4"/>
      <c r="E79" s="4"/>
      <c r="F79" s="4"/>
      <c r="G79" s="4"/>
      <c r="H79" s="4"/>
      <c r="I79" s="4"/>
      <c r="J79" s="4"/>
      <c r="K79" s="4"/>
      <c r="L79" s="4"/>
      <c r="M79" s="4"/>
      <c r="N79" s="4"/>
      <c r="O79" s="105"/>
    </row>
    <row r="80" spans="1:15" ht="11" thickBot="1">
      <c r="A80" s="5" t="s">
        <v>275</v>
      </c>
      <c r="C80" s="61">
        <f>'5. Financials - drinking water'!C80+'6. Financials - wastewater'!C80+'7. Financials - stormwater'!C80</f>
        <v>1615</v>
      </c>
      <c r="E80" s="61">
        <f t="shared" ref="E80:N80" si="27">E76</f>
        <v>1615.0569999999998</v>
      </c>
      <c r="F80" s="61">
        <f t="shared" si="27"/>
        <v>1615.0569999999998</v>
      </c>
      <c r="G80" s="61">
        <f t="shared" si="27"/>
        <v>1615.0569999999998</v>
      </c>
      <c r="H80" s="61">
        <f t="shared" si="27"/>
        <v>1615.0569999999998</v>
      </c>
      <c r="I80" s="61">
        <f t="shared" si="27"/>
        <v>1615.0569999999998</v>
      </c>
      <c r="J80" s="61">
        <f t="shared" si="27"/>
        <v>1615.0569999999962</v>
      </c>
      <c r="K80" s="61">
        <f t="shared" si="27"/>
        <v>1615.0569999999962</v>
      </c>
      <c r="L80" s="61">
        <f t="shared" si="27"/>
        <v>1615.0569999999962</v>
      </c>
      <c r="M80" s="61">
        <f t="shared" si="27"/>
        <v>1615.0569999999962</v>
      </c>
      <c r="N80" s="61">
        <f t="shared" si="27"/>
        <v>1615.0569999999962</v>
      </c>
    </row>
    <row r="81" spans="1:15" ht="11" thickBot="1">
      <c r="A81" s="5" t="s">
        <v>276</v>
      </c>
      <c r="C81" s="61">
        <f>'5. Financials - drinking water'!C81+'6. Financials - wastewater'!C81+'7. Financials - stormwater'!C81</f>
        <v>0</v>
      </c>
      <c r="E81" s="61">
        <f>'5. Financials - drinking water'!E81+'6. Financials - wastewater'!E81+'7. Financials - stormwater'!E81</f>
        <v>0</v>
      </c>
      <c r="F81" s="61">
        <f>'5. Financials - drinking water'!F81+'6. Financials - wastewater'!F81+'7. Financials - stormwater'!F81</f>
        <v>0</v>
      </c>
      <c r="G81" s="61">
        <f>'5. Financials - drinking water'!G81+'6. Financials - wastewater'!G81+'7. Financials - stormwater'!G81</f>
        <v>0</v>
      </c>
      <c r="H81" s="61">
        <f>'5. Financials - drinking water'!H81+'6. Financials - wastewater'!H81+'7. Financials - stormwater'!H81</f>
        <v>0</v>
      </c>
      <c r="I81" s="61">
        <f>'5. Financials - drinking water'!I81+'6. Financials - wastewater'!I81+'7. Financials - stormwater'!I81</f>
        <v>0</v>
      </c>
      <c r="J81" s="61">
        <f>'5. Financials - drinking water'!J81+'6. Financials - wastewater'!J81+'7. Financials - stormwater'!J81</f>
        <v>0</v>
      </c>
      <c r="K81" s="61">
        <f>'5. Financials - drinking water'!K81+'6. Financials - wastewater'!K81+'7. Financials - stormwater'!K81</f>
        <v>0</v>
      </c>
      <c r="L81" s="61">
        <f>'5. Financials - drinking water'!L81+'6. Financials - wastewater'!L81+'7. Financials - stormwater'!L81</f>
        <v>0</v>
      </c>
      <c r="M81" s="61">
        <f>'5. Financials - drinking water'!M81+'6. Financials - wastewater'!M81+'7. Financials - stormwater'!M81</f>
        <v>0</v>
      </c>
      <c r="N81" s="61">
        <f>'5. Financials - drinking water'!N81+'6. Financials - wastewater'!N81+'7. Financials - stormwater'!N81</f>
        <v>0</v>
      </c>
    </row>
    <row r="82" spans="1:15" ht="11" thickBot="1">
      <c r="A82" s="5" t="s">
        <v>277</v>
      </c>
      <c r="C82" s="61">
        <f>'5. Financials - drinking water'!C82+'6. Financials - wastewater'!C82+'7. Financials - stormwater'!C82</f>
        <v>70103</v>
      </c>
      <c r="E82" s="61">
        <f>'5. Financials - drinking water'!E82+'6. Financials - wastewater'!E82+'7. Financials - stormwater'!E82</f>
        <v>73462</v>
      </c>
      <c r="F82" s="61">
        <f>'5. Financials - drinking water'!F82+'6. Financials - wastewater'!F82+'7. Financials - stormwater'!F82</f>
        <v>81660.352591999996</v>
      </c>
      <c r="G82" s="61">
        <f>'5. Financials - drinking water'!G82+'6. Financials - wastewater'!G82+'7. Financials - stormwater'!G82</f>
        <v>85392.352591999996</v>
      </c>
      <c r="H82" s="61">
        <f>'5. Financials - drinking water'!H82+'6. Financials - wastewater'!H82+'7. Financials - stormwater'!H82</f>
        <v>93643.81328056319</v>
      </c>
      <c r="I82" s="61">
        <f>'5. Financials - drinking water'!I82+'6. Financials - wastewater'!I82+'7. Financials - stormwater'!I82</f>
        <v>98347.81328056319</v>
      </c>
      <c r="J82" s="61">
        <f>'5. Financials - drinking water'!J82+'6. Financials - wastewater'!J82+'7. Financials - stormwater'!J82</f>
        <v>107508.80615261244</v>
      </c>
      <c r="K82" s="61">
        <f>'5. Financials - drinking water'!K82+'6. Financials - wastewater'!K82+'7. Financials - stormwater'!K82</f>
        <v>112815.29690365147</v>
      </c>
      <c r="L82" s="61">
        <f>'5. Financials - drinking water'!L82+'6. Financials - wastewater'!L82+'7. Financials - stormwater'!L82</f>
        <v>120841.60187197324</v>
      </c>
      <c r="M82" s="61">
        <f>'5. Financials - drinking water'!M82+'6. Financials - wastewater'!M82+'7. Financials - stormwater'!M82</f>
        <v>124074.23766750826</v>
      </c>
      <c r="N82" s="61">
        <f>'5. Financials - drinking water'!N82+'6. Financials - wastewater'!N82+'7. Financials - stormwater'!N82</f>
        <v>132592.3262237419</v>
      </c>
    </row>
    <row r="83" spans="1:15" ht="11" thickBot="1">
      <c r="A83" s="5" t="s">
        <v>278</v>
      </c>
      <c r="C83" s="61">
        <f>'5. Financials - drinking water'!C83+'6. Financials - wastewater'!C83+'7. Financials - stormwater'!C83</f>
        <v>0</v>
      </c>
      <c r="E83" s="61">
        <f>'5. Financials - drinking water'!E83+'6. Financials - wastewater'!E83+'7. Financials - stormwater'!E83</f>
        <v>0</v>
      </c>
      <c r="F83" s="61">
        <f>'5. Financials - drinking water'!F83+'6. Financials - wastewater'!F83+'7. Financials - stormwater'!F83</f>
        <v>0</v>
      </c>
      <c r="G83" s="61">
        <f>'5. Financials - drinking water'!G83+'6. Financials - wastewater'!G83+'7. Financials - stormwater'!G83</f>
        <v>0</v>
      </c>
      <c r="H83" s="61">
        <f>'5. Financials - drinking water'!H83+'6. Financials - wastewater'!H83+'7. Financials - stormwater'!H83</f>
        <v>1250</v>
      </c>
      <c r="I83" s="61">
        <f>'5. Financials - drinking water'!I83+'6. Financials - wastewater'!I83+'7. Financials - stormwater'!I83</f>
        <v>1250</v>
      </c>
      <c r="J83" s="61">
        <f>'5. Financials - drinking water'!J83+'6. Financials - wastewater'!J83+'7. Financials - stormwater'!J83</f>
        <v>1250</v>
      </c>
      <c r="K83" s="61">
        <f>'5. Financials - drinking water'!K83+'6. Financials - wastewater'!K83+'7. Financials - stormwater'!K83</f>
        <v>1250</v>
      </c>
      <c r="L83" s="61">
        <f>'5. Financials - drinking water'!L83+'6. Financials - wastewater'!L83+'7. Financials - stormwater'!L83</f>
        <v>1250</v>
      </c>
      <c r="M83" s="61">
        <f>'5. Financials - drinking water'!M83+'6. Financials - wastewater'!M83+'7. Financials - stormwater'!M83</f>
        <v>1250</v>
      </c>
      <c r="N83" s="61">
        <f>'5. Financials - drinking water'!N83+'6. Financials - wastewater'!N83+'7. Financials - stormwater'!N83</f>
        <v>1250</v>
      </c>
    </row>
    <row r="84" spans="1:15" ht="11" thickBot="1">
      <c r="A84" s="108" t="s">
        <v>279</v>
      </c>
      <c r="C84" s="12">
        <f>SUM(C80:C83)</f>
        <v>71718</v>
      </c>
      <c r="E84" s="12">
        <f t="shared" ref="E84:N84" si="28">SUM(E80:E83)</f>
        <v>75077.057000000001</v>
      </c>
      <c r="F84" s="12">
        <f t="shared" si="28"/>
        <v>83275.409591999996</v>
      </c>
      <c r="G84" s="12">
        <f t="shared" si="28"/>
        <v>87007.409591999996</v>
      </c>
      <c r="H84" s="12">
        <f t="shared" si="28"/>
        <v>96508.870280563191</v>
      </c>
      <c r="I84" s="12">
        <f t="shared" si="28"/>
        <v>101212.87028056319</v>
      </c>
      <c r="J84" s="12">
        <f t="shared" si="28"/>
        <v>110373.86315261244</v>
      </c>
      <c r="K84" s="12">
        <f t="shared" si="28"/>
        <v>115680.35390365147</v>
      </c>
      <c r="L84" s="12">
        <f t="shared" si="28"/>
        <v>123706.65887197324</v>
      </c>
      <c r="M84" s="12">
        <f t="shared" si="28"/>
        <v>126939.29466750826</v>
      </c>
      <c r="N84" s="12">
        <f t="shared" si="28"/>
        <v>135457.3832237419</v>
      </c>
    </row>
    <row r="85" spans="1:15" ht="5.25" customHeight="1" thickBot="1">
      <c r="A85" s="5"/>
      <c r="C85" s="60"/>
      <c r="E85" s="60"/>
      <c r="F85" s="60"/>
      <c r="G85" s="60"/>
      <c r="H85" s="60"/>
      <c r="I85" s="60"/>
      <c r="J85" s="60"/>
      <c r="K85" s="60"/>
      <c r="L85" s="60"/>
      <c r="M85" s="60"/>
      <c r="N85" s="60"/>
    </row>
    <row r="86" spans="1:15" ht="11" thickBot="1">
      <c r="A86" s="106" t="s">
        <v>280</v>
      </c>
      <c r="C86" s="4"/>
      <c r="E86" s="4"/>
      <c r="F86" s="4"/>
      <c r="G86" s="4"/>
      <c r="H86" s="4"/>
      <c r="I86" s="4"/>
      <c r="J86" s="4"/>
      <c r="K86" s="4"/>
      <c r="L86" s="4"/>
      <c r="M86" s="4"/>
      <c r="N86" s="4"/>
      <c r="O86" s="105"/>
    </row>
    <row r="87" spans="1:15" ht="11" thickBot="1">
      <c r="A87" s="5" t="s">
        <v>281</v>
      </c>
      <c r="C87" s="61">
        <f>'5. Financials - drinking water'!C87+'6. Financials - wastewater'!C87+'7. Financials - stormwater'!C87</f>
        <v>0</v>
      </c>
      <c r="E87" s="61">
        <f>'5. Financials - drinking water'!E87+'6. Financials - wastewater'!E87+'7. Financials - stormwater'!E87</f>
        <v>0</v>
      </c>
      <c r="F87" s="61">
        <f>'5. Financials - drinking water'!F87+'6. Financials - wastewater'!F87+'7. Financials - stormwater'!F87</f>
        <v>0</v>
      </c>
      <c r="G87" s="61">
        <f>'5. Financials - drinking water'!G87+'6. Financials - wastewater'!G87+'7. Financials - stormwater'!G87</f>
        <v>0</v>
      </c>
      <c r="H87" s="61">
        <f>'5. Financials - drinking water'!H87+'6. Financials - wastewater'!H87+'7. Financials - stormwater'!H87</f>
        <v>0</v>
      </c>
      <c r="I87" s="61">
        <f>'5. Financials - drinking water'!I87+'6. Financials - wastewater'!I87+'7. Financials - stormwater'!I87</f>
        <v>0</v>
      </c>
      <c r="J87" s="61">
        <f>'5. Financials - drinking water'!J87+'6. Financials - wastewater'!J87+'7. Financials - stormwater'!J87</f>
        <v>0</v>
      </c>
      <c r="K87" s="61">
        <f>'5. Financials - drinking water'!K87+'6. Financials - wastewater'!K87+'7. Financials - stormwater'!K87</f>
        <v>0</v>
      </c>
      <c r="L87" s="61">
        <f>'5. Financials - drinking water'!L87+'6. Financials - wastewater'!L87+'7. Financials - stormwater'!L87</f>
        <v>0</v>
      </c>
      <c r="M87" s="61">
        <f>'5. Financials - drinking water'!M87+'6. Financials - wastewater'!M87+'7. Financials - stormwater'!M87</f>
        <v>0</v>
      </c>
      <c r="N87" s="61">
        <f>'5. Financials - drinking water'!N87+'6. Financials - wastewater'!N87+'7. Financials - stormwater'!N87</f>
        <v>0</v>
      </c>
    </row>
    <row r="88" spans="1:15" ht="11" thickBot="1">
      <c r="A88" s="5" t="s">
        <v>282</v>
      </c>
      <c r="C88" s="61">
        <f>'5. Financials - drinking water'!C88+'6. Financials - wastewater'!C88+'7. Financials - stormwater'!C88</f>
        <v>0</v>
      </c>
      <c r="E88" s="61">
        <f>'5. Financials - drinking water'!E88+'6. Financials - wastewater'!E88+'7. Financials - stormwater'!E88</f>
        <v>0</v>
      </c>
      <c r="F88" s="61">
        <f>'5. Financials - drinking water'!F88+'6. Financials - wastewater'!F88+'7. Financials - stormwater'!F88</f>
        <v>0</v>
      </c>
      <c r="G88" s="61">
        <f>'5. Financials - drinking water'!G88+'6. Financials - wastewater'!G88+'7. Financials - stormwater'!G88</f>
        <v>0</v>
      </c>
      <c r="H88" s="61">
        <f>'5. Financials - drinking water'!H88+'6. Financials - wastewater'!H88+'7. Financials - stormwater'!H88</f>
        <v>0</v>
      </c>
      <c r="I88" s="61">
        <f>'5. Financials - drinking water'!I88+'6. Financials - wastewater'!I88+'7. Financials - stormwater'!I88</f>
        <v>0</v>
      </c>
      <c r="J88" s="61">
        <f>'5. Financials - drinking water'!J88+'6. Financials - wastewater'!J88+'7. Financials - stormwater'!J88</f>
        <v>0</v>
      </c>
      <c r="K88" s="61">
        <f>'5. Financials - drinking water'!K88+'6. Financials - wastewater'!K88+'7. Financials - stormwater'!K88</f>
        <v>0</v>
      </c>
      <c r="L88" s="61">
        <f>'5. Financials - drinking water'!L88+'6. Financials - wastewater'!L88+'7. Financials - stormwater'!L88</f>
        <v>0</v>
      </c>
      <c r="M88" s="61">
        <f>'5. Financials - drinking water'!M88+'6. Financials - wastewater'!M88+'7. Financials - stormwater'!M88</f>
        <v>0</v>
      </c>
      <c r="N88" s="61">
        <f>'5. Financials - drinking water'!N88+'6. Financials - wastewater'!N88+'7. Financials - stormwater'!N88</f>
        <v>0</v>
      </c>
    </row>
    <row r="89" spans="1:15" ht="11" thickBot="1">
      <c r="A89" s="5" t="s">
        <v>283</v>
      </c>
      <c r="C89" s="61">
        <f>'5. Financials - drinking water'!C89+'6. Financials - wastewater'!C89+'7. Financials - stormwater'!C89</f>
        <v>27559</v>
      </c>
      <c r="E89" s="61">
        <f>'5. Financials - drinking water'!E89+'6. Financials - wastewater'!E89+'7. Financials - stormwater'!E89</f>
        <v>30239</v>
      </c>
      <c r="F89" s="61">
        <f>'5. Financials - drinking water'!F89+'6. Financials - wastewater'!F89+'7. Financials - stormwater'!F89</f>
        <v>33644</v>
      </c>
      <c r="G89" s="61">
        <f>'5. Financials - drinking water'!G89+'6. Financials - wastewater'!G89+'7. Financials - stormwater'!G89</f>
        <v>35908</v>
      </c>
      <c r="H89" s="61">
        <f>'5. Financials - drinking water'!H89+'6. Financials - wastewater'!H89+'7. Financials - stormwater'!H89</f>
        <v>40161.205000408918</v>
      </c>
      <c r="I89" s="61">
        <f>'5. Financials - drinking water'!I89+'6. Financials - wastewater'!I89+'7. Financials - stormwater'!I89</f>
        <v>43808.901970775521</v>
      </c>
      <c r="J89" s="61">
        <f>'5. Financials - drinking water'!J89+'6. Financials - wastewater'!J89+'7. Financials - stormwater'!J89</f>
        <v>46700.315315953259</v>
      </c>
      <c r="K89" s="61">
        <f>'5. Financials - drinking water'!K89+'6. Financials - wastewater'!K89+'7. Financials - stormwater'!K89</f>
        <v>50328.33748562829</v>
      </c>
      <c r="L89" s="61">
        <f>'5. Financials - drinking water'!L89+'6. Financials - wastewater'!L89+'7. Financials - stormwater'!L89</f>
        <v>51360.380320507495</v>
      </c>
      <c r="M89" s="61">
        <f>'5. Financials - drinking water'!M89+'6. Financials - wastewater'!M89+'7. Financials - stormwater'!M89</f>
        <v>52925.662672860315</v>
      </c>
      <c r="N89" s="61">
        <f>'5. Financials - drinking water'!N89+'6. Financials - wastewater'!N89+'7. Financials - stormwater'!N89</f>
        <v>53667.993929609947</v>
      </c>
    </row>
    <row r="90" spans="1:15" ht="11" thickBot="1">
      <c r="A90" s="5" t="s">
        <v>284</v>
      </c>
      <c r="C90" s="61">
        <f>'5. Financials - drinking water'!C90+'6. Financials - wastewater'!C90+'7. Financials - stormwater'!C90</f>
        <v>0</v>
      </c>
      <c r="E90" s="61">
        <f>'5. Financials - drinking water'!E90+'6. Financials - wastewater'!E90+'7. Financials - stormwater'!E90</f>
        <v>0</v>
      </c>
      <c r="F90" s="61">
        <f>'5. Financials - drinking water'!F90+'6. Financials - wastewater'!F90+'7. Financials - stormwater'!F90</f>
        <v>0</v>
      </c>
      <c r="G90" s="61">
        <f>'5. Financials - drinking water'!G90+'6. Financials - wastewater'!G90+'7. Financials - stormwater'!G90</f>
        <v>0</v>
      </c>
      <c r="H90" s="61">
        <f>'5. Financials - drinking water'!H90+'6. Financials - wastewater'!H90+'7. Financials - stormwater'!H90</f>
        <v>0</v>
      </c>
      <c r="I90" s="61">
        <f>'5. Financials - drinking water'!I90+'6. Financials - wastewater'!I90+'7. Financials - stormwater'!I90</f>
        <v>0</v>
      </c>
      <c r="J90" s="61">
        <f>'5. Financials - drinking water'!J90+'6. Financials - wastewater'!J90+'7. Financials - stormwater'!J90</f>
        <v>0</v>
      </c>
      <c r="K90" s="61">
        <f>'5. Financials - drinking water'!K90+'6. Financials - wastewater'!K90+'7. Financials - stormwater'!K90</f>
        <v>0</v>
      </c>
      <c r="L90" s="61">
        <f>'5. Financials - drinking water'!L90+'6. Financials - wastewater'!L90+'7. Financials - stormwater'!L90</f>
        <v>0</v>
      </c>
      <c r="M90" s="61">
        <f>'5. Financials - drinking water'!M90+'6. Financials - wastewater'!M90+'7. Financials - stormwater'!M90</f>
        <v>0</v>
      </c>
      <c r="N90" s="61">
        <f>'5. Financials - drinking water'!N90+'6. Financials - wastewater'!N90+'7. Financials - stormwater'!N90</f>
        <v>0</v>
      </c>
    </row>
    <row r="91" spans="1:15" ht="11" thickBot="1">
      <c r="A91" s="108" t="s">
        <v>285</v>
      </c>
      <c r="C91" s="12">
        <f>SUM(C87:C90)</f>
        <v>27559</v>
      </c>
      <c r="E91" s="12">
        <f t="shared" ref="E91:N91" si="29">SUM(E87:E90)</f>
        <v>30239</v>
      </c>
      <c r="F91" s="12">
        <f t="shared" si="29"/>
        <v>33644</v>
      </c>
      <c r="G91" s="12">
        <f t="shared" si="29"/>
        <v>35908</v>
      </c>
      <c r="H91" s="12">
        <f t="shared" si="29"/>
        <v>40161.205000408918</v>
      </c>
      <c r="I91" s="12">
        <f t="shared" si="29"/>
        <v>43808.901970775521</v>
      </c>
      <c r="J91" s="12">
        <f t="shared" si="29"/>
        <v>46700.315315953259</v>
      </c>
      <c r="K91" s="12">
        <f t="shared" si="29"/>
        <v>50328.33748562829</v>
      </c>
      <c r="L91" s="12">
        <f t="shared" si="29"/>
        <v>51360.380320507495</v>
      </c>
      <c r="M91" s="12">
        <f t="shared" si="29"/>
        <v>52925.662672860315</v>
      </c>
      <c r="N91" s="12">
        <f t="shared" si="29"/>
        <v>53667.993929609947</v>
      </c>
    </row>
    <row r="92" spans="1:15" ht="5.25" customHeight="1" thickBot="1">
      <c r="A92" s="5"/>
      <c r="C92" s="61"/>
      <c r="E92" s="61"/>
      <c r="F92" s="60"/>
      <c r="G92" s="60"/>
      <c r="H92" s="60"/>
      <c r="I92" s="60"/>
      <c r="J92" s="60"/>
      <c r="K92" s="60"/>
      <c r="L92" s="60"/>
      <c r="M92" s="60"/>
      <c r="N92" s="60"/>
    </row>
    <row r="93" spans="1:15" ht="11" thickBot="1">
      <c r="A93" s="108" t="s">
        <v>286</v>
      </c>
      <c r="C93" s="12">
        <f>C84-C91</f>
        <v>44159</v>
      </c>
      <c r="E93" s="12">
        <f t="shared" ref="E93:N93" si="30">E84-E91</f>
        <v>44838.057000000001</v>
      </c>
      <c r="F93" s="12">
        <f t="shared" si="30"/>
        <v>49631.409591999996</v>
      </c>
      <c r="G93" s="12">
        <f t="shared" si="30"/>
        <v>51099.409591999996</v>
      </c>
      <c r="H93" s="12">
        <f t="shared" si="30"/>
        <v>56347.665280154273</v>
      </c>
      <c r="I93" s="12">
        <f t="shared" si="30"/>
        <v>57403.96830978767</v>
      </c>
      <c r="J93" s="12">
        <f t="shared" si="30"/>
        <v>63673.547836659178</v>
      </c>
      <c r="K93" s="12">
        <f t="shared" si="30"/>
        <v>65352.01641802318</v>
      </c>
      <c r="L93" s="12">
        <f t="shared" si="30"/>
        <v>72346.278551465744</v>
      </c>
      <c r="M93" s="12">
        <f t="shared" si="30"/>
        <v>74013.631994647949</v>
      </c>
      <c r="N93" s="12">
        <f t="shared" si="30"/>
        <v>81789.38929413195</v>
      </c>
    </row>
    <row r="94" spans="1:15" ht="5.25" customHeight="1" thickBot="1">
      <c r="A94" s="5"/>
      <c r="C94" s="60"/>
      <c r="E94" s="60"/>
      <c r="F94" s="60"/>
      <c r="G94" s="60"/>
      <c r="H94" s="60"/>
      <c r="I94" s="60"/>
      <c r="J94" s="60"/>
      <c r="K94" s="60"/>
      <c r="L94" s="60"/>
      <c r="M94" s="60"/>
      <c r="N94" s="60"/>
    </row>
    <row r="95" spans="1:15" ht="11" thickBot="1">
      <c r="A95" s="106" t="s">
        <v>287</v>
      </c>
      <c r="C95" s="4"/>
      <c r="E95" s="4"/>
      <c r="F95" s="4"/>
      <c r="G95" s="4"/>
      <c r="H95" s="4"/>
      <c r="I95" s="4"/>
      <c r="J95" s="4"/>
      <c r="K95" s="4"/>
      <c r="L95" s="4"/>
      <c r="M95" s="4"/>
      <c r="N95" s="4"/>
      <c r="O95" s="105"/>
    </row>
    <row r="96" spans="1:15" ht="11" thickBot="1">
      <c r="A96" s="5" t="s">
        <v>288</v>
      </c>
      <c r="C96" s="61">
        <f>'5. Financials - drinking water'!C96+'6. Financials - wastewater'!C96+'7. Financials - stormwater'!C96</f>
        <v>0</v>
      </c>
      <c r="E96" s="61">
        <f>'5. Financials - drinking water'!E96+'6. Financials - wastewater'!E96+'7. Financials - stormwater'!E96</f>
        <v>0</v>
      </c>
      <c r="F96" s="61">
        <f>'5. Financials - drinking water'!F96+'6. Financials - wastewater'!F96+'7. Financials - stormwater'!F96</f>
        <v>3718.3525919999993</v>
      </c>
      <c r="G96" s="61">
        <f>'5. Financials - drinking water'!G96+'6. Financials - wastewater'!G96+'7. Financials - stormwater'!G96</f>
        <v>3718.3525919999993</v>
      </c>
      <c r="H96" s="61">
        <f>'5. Financials - drinking water'!H96+'6. Financials - wastewater'!H96+'7. Financials - stormwater'!H96</f>
        <v>7953.8132805631885</v>
      </c>
      <c r="I96" s="61">
        <f>'5. Financials - drinking water'!I96+'6. Financials - wastewater'!I96+'7. Financials - stormwater'!I96</f>
        <v>7953.8132805631885</v>
      </c>
      <c r="J96" s="61">
        <f>'5. Financials - drinking water'!J96+'6. Financials - wastewater'!J96+'7. Financials - stormwater'!J96</f>
        <v>12831.86481927911</v>
      </c>
      <c r="K96" s="61">
        <f>'5. Financials - drinking water'!K96+'6. Financials - wastewater'!K96+'7. Financials - stormwater'!K96</f>
        <v>12831.86481927911</v>
      </c>
      <c r="L96" s="61">
        <f>'5. Financials - drinking water'!L96+'6. Financials - wastewater'!L96+'7. Financials - stormwater'!L96</f>
        <v>18311.980681670877</v>
      </c>
      <c r="M96" s="61">
        <f>'5. Financials - drinking water'!M96+'6. Financials - wastewater'!M96+'7. Financials - stormwater'!M96</f>
        <v>18311.980681670877</v>
      </c>
      <c r="N96" s="61">
        <f>'5. Financials - drinking water'!N96+'6. Financials - wastewater'!N96+'7. Financials - stormwater'!N96</f>
        <v>24339.010850607752</v>
      </c>
    </row>
    <row r="97" spans="1:14" ht="11" thickBot="1">
      <c r="A97" s="5" t="s">
        <v>289</v>
      </c>
      <c r="C97" s="61">
        <f>'5. Financials - drinking water'!C97+'6. Financials - wastewater'!C97+'7. Financials - stormwater'!C97</f>
        <v>44159</v>
      </c>
      <c r="E97" s="61">
        <f>'5. Financials - drinking water'!E97+'6. Financials - wastewater'!E97+'7. Financials - stormwater'!E97</f>
        <v>44838.057000000001</v>
      </c>
      <c r="F97" s="61">
        <f>'5. Financials - drinking water'!F97+'6. Financials - wastewater'!F97+'7. Financials - stormwater'!F97</f>
        <v>45913.057000000001</v>
      </c>
      <c r="G97" s="61">
        <f>'5. Financials - drinking water'!G97+'6. Financials - wastewater'!G97+'7. Financials - stormwater'!G97</f>
        <v>47381.057000000001</v>
      </c>
      <c r="H97" s="61">
        <f>'5. Financials - drinking water'!H97+'6. Financials - wastewater'!H97+'7. Financials - stormwater'!H97</f>
        <v>48393.851999591083</v>
      </c>
      <c r="I97" s="61">
        <f>'5. Financials - drinking water'!I97+'6. Financials - wastewater'!I97+'7. Financials - stormwater'!I97</f>
        <v>49450.155029224472</v>
      </c>
      <c r="J97" s="61">
        <f>'5. Financials - drinking water'!J97+'6. Financials - wastewater'!J97+'7. Financials - stormwater'!J97</f>
        <v>50841.683017380055</v>
      </c>
      <c r="K97" s="61">
        <f>'5. Financials - drinking water'!K97+'6. Financials - wastewater'!K97+'7. Financials - stormwater'!K97</f>
        <v>52520.151598744073</v>
      </c>
      <c r="L97" s="61">
        <f>'5. Financials - drinking water'!L97+'6. Financials - wastewater'!L97+'7. Financials - stormwater'!L97</f>
        <v>54034.297869794857</v>
      </c>
      <c r="M97" s="61">
        <f>'5. Financials - drinking water'!M97+'6. Financials - wastewater'!M97+'7. Financials - stormwater'!M97</f>
        <v>55701.651312977046</v>
      </c>
      <c r="N97" s="61">
        <f>'5. Financials - drinking water'!N97+'6. Financials - wastewater'!N97+'7. Financials - stormwater'!N97</f>
        <v>57450.378443524198</v>
      </c>
    </row>
    <row r="98" spans="1:14" ht="11" thickBot="1">
      <c r="A98" s="108" t="s">
        <v>290</v>
      </c>
      <c r="C98" s="12">
        <f>SUM(C96:C97)</f>
        <v>44159</v>
      </c>
      <c r="E98" s="12">
        <f t="shared" ref="E98:N98" si="31">SUM(E96:E97)</f>
        <v>44838.057000000001</v>
      </c>
      <c r="F98" s="12">
        <f t="shared" si="31"/>
        <v>49631.409591999996</v>
      </c>
      <c r="G98" s="12">
        <f t="shared" si="31"/>
        <v>51099.409591999996</v>
      </c>
      <c r="H98" s="12">
        <f t="shared" si="31"/>
        <v>56347.665280154273</v>
      </c>
      <c r="I98" s="12">
        <f t="shared" si="31"/>
        <v>57403.968309787662</v>
      </c>
      <c r="J98" s="12">
        <f t="shared" si="31"/>
        <v>63673.547836659163</v>
      </c>
      <c r="K98" s="12">
        <f t="shared" si="31"/>
        <v>65352.01641802318</v>
      </c>
      <c r="L98" s="12">
        <f t="shared" si="31"/>
        <v>72346.27855146573</v>
      </c>
      <c r="M98" s="12">
        <f t="shared" si="31"/>
        <v>74013.63199464792</v>
      </c>
      <c r="N98" s="12">
        <f t="shared" si="31"/>
        <v>81789.38929413195</v>
      </c>
    </row>
  </sheetData>
  <pageMargins left="0.7" right="0.7" top="0.75" bottom="0.75" header="0.3" footer="0.3"/>
  <pageSetup paperSize="8" scale="7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04793-0755-41AB-ACD6-787BFE46E855}">
  <sheetPr codeName="Sheet30">
    <pageSetUpPr fitToPage="1"/>
  </sheetPr>
  <dimension ref="A1:P98"/>
  <sheetViews>
    <sheetView topLeftCell="A88" workbookViewId="0">
      <selection activeCell="A99" sqref="A99:XFD121"/>
    </sheetView>
  </sheetViews>
  <sheetFormatPr defaultColWidth="6.6328125" defaultRowHeight="10.5"/>
  <cols>
    <col min="1" max="1" width="67.6328125" style="1" customWidth="1"/>
    <col min="2" max="2" width="1.54296875" style="1" customWidth="1"/>
    <col min="3" max="3" width="12.7265625" style="1" customWidth="1"/>
    <col min="4" max="4" width="1.90625" style="1" customWidth="1"/>
    <col min="5" max="14" width="12.7265625" style="1" customWidth="1"/>
    <col min="15" max="16" width="9.54296875" style="1" customWidth="1"/>
    <col min="17" max="17" width="6.6328125" style="1"/>
    <col min="18" max="19" width="9.54296875" style="1" customWidth="1"/>
    <col min="20" max="16384" width="6.6328125" style="1"/>
  </cols>
  <sheetData>
    <row r="1" spans="1:16" ht="11" thickBot="1">
      <c r="A1" s="104" t="s">
        <v>220</v>
      </c>
      <c r="B1" s="91"/>
      <c r="C1" s="91" t="s">
        <v>29</v>
      </c>
      <c r="D1" s="91"/>
      <c r="E1" s="91" t="s">
        <v>19</v>
      </c>
      <c r="F1" s="91" t="s">
        <v>20</v>
      </c>
      <c r="G1" s="91" t="s">
        <v>21</v>
      </c>
      <c r="H1" s="91" t="s">
        <v>22</v>
      </c>
      <c r="I1" s="91" t="s">
        <v>23</v>
      </c>
      <c r="J1" s="91" t="s">
        <v>24</v>
      </c>
      <c r="K1" s="91" t="s">
        <v>25</v>
      </c>
      <c r="L1" s="91" t="s">
        <v>26</v>
      </c>
      <c r="M1" s="91" t="s">
        <v>27</v>
      </c>
      <c r="N1" s="91" t="s">
        <v>28</v>
      </c>
      <c r="O1" s="105"/>
      <c r="P1" s="91" t="s">
        <v>159</v>
      </c>
    </row>
    <row r="2" spans="1:16" ht="11" thickBot="1">
      <c r="A2" s="106" t="s">
        <v>221</v>
      </c>
      <c r="C2" s="4"/>
      <c r="E2" s="4"/>
      <c r="F2" s="4"/>
      <c r="G2" s="4"/>
      <c r="H2" s="4"/>
      <c r="I2" s="4"/>
      <c r="J2" s="4"/>
      <c r="K2" s="4"/>
      <c r="L2" s="4"/>
      <c r="M2" s="4"/>
      <c r="N2" s="4"/>
      <c r="O2" s="105"/>
      <c r="P2" s="4"/>
    </row>
    <row r="3" spans="1:16" ht="11" thickBot="1">
      <c r="A3" s="5" t="s">
        <v>222</v>
      </c>
      <c r="C3" s="112">
        <v>262</v>
      </c>
      <c r="E3" s="112">
        <v>183</v>
      </c>
      <c r="F3" s="112">
        <v>257</v>
      </c>
      <c r="G3" s="112">
        <v>312</v>
      </c>
      <c r="H3" s="112">
        <v>341</v>
      </c>
      <c r="I3" s="112">
        <v>365</v>
      </c>
      <c r="J3" s="112">
        <v>387</v>
      </c>
      <c r="K3" s="112">
        <v>423</v>
      </c>
      <c r="L3" s="112">
        <v>434</v>
      </c>
      <c r="M3" s="112">
        <v>434</v>
      </c>
      <c r="N3" s="112">
        <v>448</v>
      </c>
      <c r="P3" s="107">
        <f>SUM(E3:N3)</f>
        <v>3584</v>
      </c>
    </row>
    <row r="4" spans="1:16" ht="11" thickBot="1">
      <c r="A4" s="5" t="s">
        <v>223</v>
      </c>
      <c r="C4" s="112">
        <v>2658</v>
      </c>
      <c r="E4" s="112">
        <v>2197</v>
      </c>
      <c r="F4" s="112">
        <v>2964</v>
      </c>
      <c r="G4" s="112">
        <v>3474</v>
      </c>
      <c r="H4" s="112">
        <v>3569.4589788433495</v>
      </c>
      <c r="I4" s="112">
        <v>3966.0102090511641</v>
      </c>
      <c r="J4" s="112">
        <v>4314.5096302153552</v>
      </c>
      <c r="K4" s="112">
        <v>4746.2087578441788</v>
      </c>
      <c r="L4" s="112">
        <v>4873.1192053810091</v>
      </c>
      <c r="M4" s="112">
        <v>5109.2319137093664</v>
      </c>
      <c r="N4" s="112">
        <v>5254.2963519758132</v>
      </c>
      <c r="P4" s="107">
        <f>SUM(E4:N4)</f>
        <v>40467.835047020235</v>
      </c>
    </row>
    <row r="5" spans="1:16" ht="11" thickBot="1">
      <c r="A5" s="5" t="s">
        <v>224</v>
      </c>
      <c r="C5" s="112">
        <v>0</v>
      </c>
      <c r="E5" s="112">
        <v>140</v>
      </c>
      <c r="F5" s="112">
        <v>0</v>
      </c>
      <c r="G5" s="112">
        <v>0</v>
      </c>
      <c r="H5" s="112">
        <v>0</v>
      </c>
      <c r="I5" s="112">
        <v>0</v>
      </c>
      <c r="J5" s="112">
        <v>0</v>
      </c>
      <c r="K5" s="112">
        <v>0</v>
      </c>
      <c r="L5" s="112">
        <v>0</v>
      </c>
      <c r="M5" s="112">
        <v>0</v>
      </c>
      <c r="N5" s="112">
        <v>0</v>
      </c>
      <c r="P5" s="107">
        <f>SUM(E5:N5)</f>
        <v>140</v>
      </c>
    </row>
    <row r="6" spans="1:16" ht="11" thickBot="1">
      <c r="A6" s="5" t="s">
        <v>225</v>
      </c>
      <c r="C6" s="112">
        <v>13</v>
      </c>
      <c r="E6" s="112">
        <v>0</v>
      </c>
      <c r="F6" s="112">
        <v>0</v>
      </c>
      <c r="G6" s="112">
        <v>0</v>
      </c>
      <c r="H6" s="112">
        <v>0</v>
      </c>
      <c r="I6" s="112">
        <v>0</v>
      </c>
      <c r="J6" s="112">
        <v>0</v>
      </c>
      <c r="K6" s="112">
        <v>0</v>
      </c>
      <c r="L6" s="112">
        <v>0</v>
      </c>
      <c r="M6" s="112">
        <v>0</v>
      </c>
      <c r="N6" s="112">
        <v>0</v>
      </c>
      <c r="P6" s="107">
        <f>SUM(E6:N6)</f>
        <v>0</v>
      </c>
    </row>
    <row r="7" spans="1:16" ht="11" thickBot="1">
      <c r="A7" s="5" t="s">
        <v>226</v>
      </c>
      <c r="C7" s="112">
        <v>5</v>
      </c>
      <c r="E7" s="112">
        <v>0</v>
      </c>
      <c r="F7" s="112">
        <v>0</v>
      </c>
      <c r="G7" s="112">
        <v>0</v>
      </c>
      <c r="H7" s="112">
        <v>0</v>
      </c>
      <c r="I7" s="112">
        <v>0</v>
      </c>
      <c r="J7" s="112">
        <v>0</v>
      </c>
      <c r="K7" s="112">
        <v>0</v>
      </c>
      <c r="L7" s="112">
        <v>0</v>
      </c>
      <c r="M7" s="112">
        <v>0</v>
      </c>
      <c r="N7" s="112">
        <v>0</v>
      </c>
      <c r="P7" s="107">
        <f>SUM(E7:N7)</f>
        <v>0</v>
      </c>
    </row>
    <row r="8" spans="1:16" ht="11" thickBot="1">
      <c r="A8" s="108" t="s">
        <v>227</v>
      </c>
      <c r="C8" s="12">
        <f>SUM(C3:C7)</f>
        <v>2938</v>
      </c>
      <c r="E8" s="12">
        <f t="shared" ref="E8:M8" si="0">SUM(E3:E7)</f>
        <v>2520</v>
      </c>
      <c r="F8" s="12">
        <f t="shared" si="0"/>
        <v>3221</v>
      </c>
      <c r="G8" s="12">
        <f t="shared" si="0"/>
        <v>3786</v>
      </c>
      <c r="H8" s="12">
        <f t="shared" si="0"/>
        <v>3910.4589788433495</v>
      </c>
      <c r="I8" s="12">
        <f t="shared" si="0"/>
        <v>4331.0102090511646</v>
      </c>
      <c r="J8" s="12">
        <f t="shared" si="0"/>
        <v>4701.5096302153552</v>
      </c>
      <c r="K8" s="12">
        <f t="shared" si="0"/>
        <v>5169.2087578441788</v>
      </c>
      <c r="L8" s="12">
        <f t="shared" si="0"/>
        <v>5307.1192053810091</v>
      </c>
      <c r="M8" s="12">
        <f t="shared" si="0"/>
        <v>5543.2319137093664</v>
      </c>
      <c r="N8" s="12">
        <f>SUM(N3:N7)</f>
        <v>5702.2963519758132</v>
      </c>
      <c r="P8" s="12">
        <f>SUM(P3:P7)</f>
        <v>44191.835047020235</v>
      </c>
    </row>
    <row r="9" spans="1:16" ht="5.25" customHeight="1" thickBot="1">
      <c r="A9" s="76"/>
      <c r="E9" s="109"/>
      <c r="F9" s="109"/>
      <c r="G9" s="109"/>
      <c r="H9" s="109"/>
      <c r="I9" s="109"/>
      <c r="J9" s="109"/>
      <c r="K9" s="109"/>
      <c r="L9" s="109"/>
      <c r="M9" s="109"/>
      <c r="N9" s="109"/>
    </row>
    <row r="10" spans="1:16" ht="11" thickBot="1">
      <c r="A10" s="106" t="s">
        <v>228</v>
      </c>
      <c r="C10" s="4"/>
      <c r="E10" s="4"/>
      <c r="F10" s="4"/>
      <c r="G10" s="4"/>
      <c r="H10" s="4"/>
      <c r="I10" s="4"/>
      <c r="J10" s="4"/>
      <c r="K10" s="4"/>
      <c r="L10" s="4"/>
      <c r="M10" s="4"/>
      <c r="N10" s="4"/>
      <c r="O10" s="105"/>
      <c r="P10" s="4"/>
    </row>
    <row r="11" spans="1:16" ht="11" thickBot="1">
      <c r="A11" s="5" t="s">
        <v>229</v>
      </c>
      <c r="C11" s="112">
        <v>1083</v>
      </c>
      <c r="E11" s="112">
        <v>995</v>
      </c>
      <c r="F11" s="112">
        <v>1038</v>
      </c>
      <c r="G11" s="112">
        <v>1136</v>
      </c>
      <c r="H11" s="112">
        <v>1299.6246669702628</v>
      </c>
      <c r="I11" s="112">
        <v>1334.8402836445193</v>
      </c>
      <c r="J11" s="112">
        <v>1321.4985718922726</v>
      </c>
      <c r="K11" s="112">
        <v>1416.4390035907386</v>
      </c>
      <c r="L11" s="112">
        <v>1371.894494583458</v>
      </c>
      <c r="M11" s="112">
        <v>1390.8446464195099</v>
      </c>
      <c r="N11" s="112">
        <v>1422.6070220064119</v>
      </c>
      <c r="P11" s="107">
        <f>SUM(E11:N11)</f>
        <v>12726.748689107173</v>
      </c>
    </row>
    <row r="12" spans="1:16" ht="11" thickBot="1">
      <c r="A12" s="5" t="s">
        <v>230</v>
      </c>
      <c r="C12" s="112">
        <v>140</v>
      </c>
      <c r="E12" s="112">
        <v>60.942999999999998</v>
      </c>
      <c r="F12" s="112">
        <v>208</v>
      </c>
      <c r="G12" s="112">
        <v>286</v>
      </c>
      <c r="H12" s="112">
        <v>781.87045318154355</v>
      </c>
      <c r="I12" s="112">
        <v>877.12200630460109</v>
      </c>
      <c r="J12" s="112">
        <v>978.56163246815709</v>
      </c>
      <c r="K12" s="112">
        <v>1074.3854516691772</v>
      </c>
      <c r="L12" s="112">
        <v>1131.242644900261</v>
      </c>
      <c r="M12" s="112">
        <v>1142.8095255803812</v>
      </c>
      <c r="N12" s="112">
        <v>1159.8451725008931</v>
      </c>
      <c r="P12" s="107">
        <f>SUM(E12:N12)</f>
        <v>7700.7798866050143</v>
      </c>
    </row>
    <row r="13" spans="1:16" ht="11" thickBot="1">
      <c r="A13" s="5" t="s">
        <v>231</v>
      </c>
      <c r="C13" s="112">
        <v>909</v>
      </c>
      <c r="E13" s="112">
        <v>755</v>
      </c>
      <c r="F13" s="112">
        <v>784</v>
      </c>
      <c r="G13" s="112">
        <v>818</v>
      </c>
      <c r="H13" s="112">
        <v>816</v>
      </c>
      <c r="I13" s="112">
        <v>841</v>
      </c>
      <c r="J13" s="112">
        <v>869</v>
      </c>
      <c r="K13" s="112">
        <v>878</v>
      </c>
      <c r="L13" s="112">
        <v>897</v>
      </c>
      <c r="M13" s="112">
        <v>925</v>
      </c>
      <c r="N13" s="112">
        <v>938</v>
      </c>
      <c r="P13" s="107">
        <f>SUM(E13:N13)</f>
        <v>8521</v>
      </c>
    </row>
    <row r="14" spans="1:16" ht="11" thickBot="1">
      <c r="A14" s="5" t="s">
        <v>232</v>
      </c>
      <c r="C14" s="112">
        <v>0</v>
      </c>
      <c r="E14" s="112">
        <v>0</v>
      </c>
      <c r="F14" s="112">
        <v>0</v>
      </c>
      <c r="G14" s="112">
        <v>0</v>
      </c>
      <c r="H14" s="112">
        <v>0</v>
      </c>
      <c r="I14" s="112">
        <v>0</v>
      </c>
      <c r="J14" s="112">
        <v>0</v>
      </c>
      <c r="K14" s="112">
        <v>0</v>
      </c>
      <c r="L14" s="112">
        <v>0</v>
      </c>
      <c r="M14" s="112">
        <v>0</v>
      </c>
      <c r="N14" s="112">
        <v>0</v>
      </c>
      <c r="P14" s="107">
        <f>SUM(E14:N14)</f>
        <v>0</v>
      </c>
    </row>
    <row r="15" spans="1:16" ht="11" thickBot="1">
      <c r="A15" s="108" t="s">
        <v>233</v>
      </c>
      <c r="C15" s="12">
        <f>SUM(C11:C14)</f>
        <v>2132</v>
      </c>
      <c r="E15" s="12">
        <f t="shared" ref="E15:M15" si="1">SUM(E11:E14)</f>
        <v>1810.943</v>
      </c>
      <c r="F15" s="12">
        <f t="shared" si="1"/>
        <v>2030</v>
      </c>
      <c r="G15" s="12">
        <f t="shared" si="1"/>
        <v>2240</v>
      </c>
      <c r="H15" s="12">
        <f t="shared" si="1"/>
        <v>2897.4951201518061</v>
      </c>
      <c r="I15" s="12">
        <f t="shared" si="1"/>
        <v>3052.9622899491205</v>
      </c>
      <c r="J15" s="12">
        <f t="shared" si="1"/>
        <v>3169.0602043604295</v>
      </c>
      <c r="K15" s="12">
        <f t="shared" si="1"/>
        <v>3368.8244552599158</v>
      </c>
      <c r="L15" s="12">
        <f t="shared" si="1"/>
        <v>3400.1371394837188</v>
      </c>
      <c r="M15" s="12">
        <f t="shared" si="1"/>
        <v>3458.6541719998913</v>
      </c>
      <c r="N15" s="12">
        <f>SUM(N11:N14)</f>
        <v>3520.4521945073047</v>
      </c>
      <c r="P15" s="12">
        <f>SUM(P11:P14)</f>
        <v>28948.528575712189</v>
      </c>
    </row>
    <row r="16" spans="1:16" ht="5.25" customHeight="1" thickBot="1">
      <c r="A16" s="110"/>
    </row>
    <row r="17" spans="1:16" ht="11" thickBot="1">
      <c r="A17" s="108" t="s">
        <v>234</v>
      </c>
      <c r="C17" s="12">
        <f>C8-C15</f>
        <v>806</v>
      </c>
      <c r="E17" s="12">
        <f t="shared" ref="E17:M17" si="2">E8-E15</f>
        <v>709.05700000000002</v>
      </c>
      <c r="F17" s="12">
        <f t="shared" si="2"/>
        <v>1191</v>
      </c>
      <c r="G17" s="12">
        <f t="shared" si="2"/>
        <v>1546</v>
      </c>
      <c r="H17" s="12">
        <f t="shared" si="2"/>
        <v>1012.9638586915435</v>
      </c>
      <c r="I17" s="12">
        <f t="shared" si="2"/>
        <v>1278.047919102044</v>
      </c>
      <c r="J17" s="12">
        <f t="shared" si="2"/>
        <v>1532.4494258549257</v>
      </c>
      <c r="K17" s="12">
        <f t="shared" si="2"/>
        <v>1800.384302584263</v>
      </c>
      <c r="L17" s="12">
        <f t="shared" si="2"/>
        <v>1906.9820658972903</v>
      </c>
      <c r="M17" s="12">
        <f t="shared" si="2"/>
        <v>2084.577741709475</v>
      </c>
      <c r="N17" s="12">
        <f>N8-N15</f>
        <v>2181.8441574685085</v>
      </c>
      <c r="P17" s="12">
        <f>P8-P15</f>
        <v>15243.306471308046</v>
      </c>
    </row>
    <row r="18" spans="1:16" ht="5.25" customHeight="1" thickBot="1">
      <c r="A18" s="76"/>
    </row>
    <row r="19" spans="1:16" ht="11" thickBot="1">
      <c r="A19" s="106" t="s">
        <v>235</v>
      </c>
      <c r="C19" s="4"/>
      <c r="E19" s="4"/>
      <c r="F19" s="4"/>
      <c r="G19" s="4"/>
      <c r="H19" s="4"/>
      <c r="I19" s="4"/>
      <c r="J19" s="4"/>
      <c r="K19" s="4"/>
      <c r="L19" s="4"/>
      <c r="M19" s="4"/>
      <c r="N19" s="4"/>
      <c r="O19" s="105"/>
      <c r="P19" s="4"/>
    </row>
    <row r="20" spans="1:16" ht="11" thickBot="1">
      <c r="A20" s="5" t="s">
        <v>236</v>
      </c>
      <c r="C20" s="112">
        <v>0</v>
      </c>
      <c r="E20" s="112">
        <v>0</v>
      </c>
      <c r="F20" s="112">
        <v>0</v>
      </c>
      <c r="G20" s="112">
        <v>0</v>
      </c>
      <c r="H20" s="112">
        <v>0</v>
      </c>
      <c r="I20" s="112">
        <v>0</v>
      </c>
      <c r="J20" s="112">
        <v>0</v>
      </c>
      <c r="K20" s="112">
        <v>0</v>
      </c>
      <c r="L20" s="112">
        <v>0</v>
      </c>
      <c r="M20" s="112">
        <v>0</v>
      </c>
      <c r="N20" s="112">
        <v>0</v>
      </c>
      <c r="P20" s="107">
        <f>SUM(E20:N20)</f>
        <v>0</v>
      </c>
    </row>
    <row r="21" spans="1:16" ht="11" thickBot="1">
      <c r="A21" s="5" t="s">
        <v>237</v>
      </c>
      <c r="C21" s="112">
        <v>40</v>
      </c>
      <c r="E21" s="112">
        <v>128</v>
      </c>
      <c r="F21" s="112">
        <v>131</v>
      </c>
      <c r="G21" s="112">
        <v>134</v>
      </c>
      <c r="H21" s="112">
        <v>136</v>
      </c>
      <c r="I21" s="112">
        <v>138</v>
      </c>
      <c r="J21" s="112">
        <v>139</v>
      </c>
      <c r="K21" s="112">
        <v>140</v>
      </c>
      <c r="L21" s="112">
        <v>142</v>
      </c>
      <c r="M21" s="112">
        <v>143</v>
      </c>
      <c r="N21" s="112">
        <v>145</v>
      </c>
      <c r="P21" s="107">
        <f>SUM(E21:N21)</f>
        <v>1376</v>
      </c>
    </row>
    <row r="22" spans="1:16" ht="11" thickBot="1">
      <c r="A22" s="5" t="s">
        <v>238</v>
      </c>
      <c r="C22" s="112">
        <v>2272</v>
      </c>
      <c r="E22" s="112">
        <v>2196</v>
      </c>
      <c r="F22" s="112">
        <v>1919</v>
      </c>
      <c r="G22" s="112">
        <v>827</v>
      </c>
      <c r="H22" s="112">
        <v>2749.3512429936818</v>
      </c>
      <c r="I22" s="112">
        <v>4223.952080897956</v>
      </c>
      <c r="J22" s="112">
        <v>3616.24431482003</v>
      </c>
      <c r="K22" s="112">
        <v>3735.3392897141384</v>
      </c>
      <c r="L22" s="112">
        <v>-78.050014421283322</v>
      </c>
      <c r="M22" s="112">
        <v>-273.17084291168385</v>
      </c>
      <c r="N22" s="112">
        <v>-57.716390595182077</v>
      </c>
      <c r="P22" s="107">
        <f>SUM(E22:N22)</f>
        <v>18857.949680497659</v>
      </c>
    </row>
    <row r="23" spans="1:16" ht="11" thickBot="1">
      <c r="A23" s="5" t="s">
        <v>239</v>
      </c>
      <c r="C23" s="112">
        <v>0</v>
      </c>
      <c r="E23" s="112">
        <v>0</v>
      </c>
      <c r="F23" s="112">
        <v>0</v>
      </c>
      <c r="G23" s="112">
        <v>0</v>
      </c>
      <c r="H23" s="112">
        <v>0</v>
      </c>
      <c r="I23" s="112">
        <v>0</v>
      </c>
      <c r="J23" s="112">
        <v>0</v>
      </c>
      <c r="K23" s="112">
        <v>0</v>
      </c>
      <c r="L23" s="112">
        <v>0</v>
      </c>
      <c r="M23" s="112">
        <v>0</v>
      </c>
      <c r="N23" s="112">
        <v>0</v>
      </c>
      <c r="P23" s="107">
        <f>SUM(E23:N23)</f>
        <v>0</v>
      </c>
    </row>
    <row r="24" spans="1:16" ht="11" thickBot="1">
      <c r="A24" s="5" t="s">
        <v>240</v>
      </c>
      <c r="C24" s="112">
        <v>0</v>
      </c>
      <c r="E24" s="112">
        <v>0</v>
      </c>
      <c r="F24" s="112">
        <v>0</v>
      </c>
      <c r="G24" s="112">
        <v>0</v>
      </c>
      <c r="H24" s="112">
        <v>0</v>
      </c>
      <c r="I24" s="112">
        <v>0</v>
      </c>
      <c r="J24" s="112">
        <v>0</v>
      </c>
      <c r="K24" s="112">
        <v>0</v>
      </c>
      <c r="L24" s="112">
        <v>0</v>
      </c>
      <c r="M24" s="112">
        <v>0</v>
      </c>
      <c r="N24" s="112">
        <v>0</v>
      </c>
      <c r="P24" s="107">
        <f>SUM(E24:N24)</f>
        <v>0</v>
      </c>
    </row>
    <row r="25" spans="1:16" ht="11" thickBot="1">
      <c r="A25" s="108" t="s">
        <v>241</v>
      </c>
      <c r="C25" s="12">
        <f>SUM(C20:C24)</f>
        <v>2312</v>
      </c>
      <c r="E25" s="12">
        <f t="shared" ref="E25:M25" si="3">SUM(E20:E24)</f>
        <v>2324</v>
      </c>
      <c r="F25" s="12">
        <f t="shared" si="3"/>
        <v>2050</v>
      </c>
      <c r="G25" s="12">
        <f t="shared" si="3"/>
        <v>961</v>
      </c>
      <c r="H25" s="12">
        <f t="shared" si="3"/>
        <v>2885.3512429936818</v>
      </c>
      <c r="I25" s="12">
        <f t="shared" si="3"/>
        <v>4361.952080897956</v>
      </c>
      <c r="J25" s="12">
        <f t="shared" si="3"/>
        <v>3755.24431482003</v>
      </c>
      <c r="K25" s="12">
        <f t="shared" si="3"/>
        <v>3875.3392897141384</v>
      </c>
      <c r="L25" s="12">
        <f t="shared" si="3"/>
        <v>63.949985578716678</v>
      </c>
      <c r="M25" s="12">
        <f t="shared" si="3"/>
        <v>-130.17084291168385</v>
      </c>
      <c r="N25" s="12">
        <f>SUM(N20:N24)</f>
        <v>87.283609404817923</v>
      </c>
      <c r="P25" s="12">
        <f>SUM(P20:P24)</f>
        <v>20233.949680497659</v>
      </c>
    </row>
    <row r="26" spans="1:16" ht="5.25" customHeight="1" thickBot="1">
      <c r="A26" s="76"/>
    </row>
    <row r="27" spans="1:16" ht="11" thickBot="1">
      <c r="A27" s="106" t="s">
        <v>242</v>
      </c>
      <c r="C27" s="4"/>
      <c r="E27" s="4"/>
      <c r="F27" s="4"/>
      <c r="G27" s="4"/>
      <c r="H27" s="4"/>
      <c r="I27" s="4"/>
      <c r="J27" s="4"/>
      <c r="K27" s="4"/>
      <c r="L27" s="4"/>
      <c r="M27" s="4"/>
      <c r="N27" s="4"/>
      <c r="O27" s="105"/>
      <c r="P27" s="4"/>
    </row>
    <row r="28" spans="1:16" ht="11" thickBot="1">
      <c r="A28" s="5" t="s">
        <v>192</v>
      </c>
      <c r="C28" s="112">
        <v>77</v>
      </c>
      <c r="E28" s="112">
        <v>75</v>
      </c>
      <c r="F28" s="112">
        <v>77</v>
      </c>
      <c r="G28" s="112">
        <v>80</v>
      </c>
      <c r="H28" s="112">
        <v>83</v>
      </c>
      <c r="I28" s="112">
        <v>85</v>
      </c>
      <c r="J28" s="112">
        <v>85.939509769094144</v>
      </c>
      <c r="K28" s="112">
        <v>88.806048221038083</v>
      </c>
      <c r="L28" s="112">
        <v>90.603996316570743</v>
      </c>
      <c r="M28" s="112">
        <v>92.394062744066716</v>
      </c>
      <c r="N28" s="112">
        <v>94.176296340322452</v>
      </c>
      <c r="P28" s="107">
        <f>SUM(E28:N28)</f>
        <v>851.919913391092</v>
      </c>
    </row>
    <row r="29" spans="1:16" ht="11" thickBot="1">
      <c r="A29" s="5" t="s">
        <v>193</v>
      </c>
      <c r="C29" s="112">
        <v>357</v>
      </c>
      <c r="E29" s="112">
        <v>600</v>
      </c>
      <c r="F29" s="112">
        <v>103</v>
      </c>
      <c r="G29" s="112">
        <v>32</v>
      </c>
      <c r="H29" s="112">
        <v>1100</v>
      </c>
      <c r="I29" s="112">
        <v>2543</v>
      </c>
      <c r="J29" s="112">
        <v>2298.333705150977</v>
      </c>
      <c r="K29" s="112">
        <v>2354.8727392397868</v>
      </c>
      <c r="L29" s="112">
        <v>0</v>
      </c>
      <c r="M29" s="112">
        <v>0</v>
      </c>
      <c r="N29" s="112">
        <v>0</v>
      </c>
      <c r="P29" s="107">
        <f>SUM(E29:N29)</f>
        <v>9031.2064443907639</v>
      </c>
    </row>
    <row r="30" spans="1:16" ht="11" thickBot="1">
      <c r="A30" s="5" t="s">
        <v>194</v>
      </c>
      <c r="C30" s="112">
        <v>1544</v>
      </c>
      <c r="E30" s="112">
        <v>2295</v>
      </c>
      <c r="F30" s="112">
        <v>2530</v>
      </c>
      <c r="G30" s="112">
        <v>1458</v>
      </c>
      <c r="H30" s="112">
        <v>1213</v>
      </c>
      <c r="I30" s="112">
        <v>2153</v>
      </c>
      <c r="J30" s="112">
        <v>1923.4205257548847</v>
      </c>
      <c r="K30" s="112">
        <v>2180.6020726173278</v>
      </c>
      <c r="L30" s="112">
        <v>3033.4611193653805</v>
      </c>
      <c r="M30" s="112">
        <v>3914.5620332511753</v>
      </c>
      <c r="N30" s="112">
        <v>3213.22921957579</v>
      </c>
      <c r="P30" s="107">
        <f>SUM(E30:N30)</f>
        <v>23914.274970564562</v>
      </c>
    </row>
    <row r="31" spans="1:16" ht="11" thickBot="1">
      <c r="A31" s="5" t="s">
        <v>243</v>
      </c>
      <c r="C31" s="112">
        <v>1141</v>
      </c>
      <c r="E31" s="112">
        <v>63</v>
      </c>
      <c r="F31" s="112">
        <v>531</v>
      </c>
      <c r="G31" s="112">
        <v>937</v>
      </c>
      <c r="H31" s="112">
        <v>1031</v>
      </c>
      <c r="I31" s="112">
        <v>859</v>
      </c>
      <c r="J31" s="112">
        <v>980</v>
      </c>
      <c r="K31" s="112">
        <v>1051</v>
      </c>
      <c r="L31" s="112">
        <v>-1154</v>
      </c>
      <c r="M31" s="112">
        <v>-2054</v>
      </c>
      <c r="N31" s="112">
        <v>-1040</v>
      </c>
      <c r="P31" s="107">
        <f>SUM(E31:N31)</f>
        <v>1204</v>
      </c>
    </row>
    <row r="32" spans="1:16" ht="11" thickBot="1">
      <c r="A32" s="5" t="s">
        <v>244</v>
      </c>
      <c r="C32" s="112">
        <v>0</v>
      </c>
      <c r="E32" s="112">
        <v>0</v>
      </c>
      <c r="F32" s="112">
        <v>0</v>
      </c>
      <c r="G32" s="112">
        <v>0</v>
      </c>
      <c r="H32" s="112">
        <v>471.31510168522505</v>
      </c>
      <c r="I32" s="112">
        <v>0</v>
      </c>
      <c r="J32" s="112">
        <v>0</v>
      </c>
      <c r="K32" s="112">
        <v>0</v>
      </c>
      <c r="L32" s="112">
        <v>0</v>
      </c>
      <c r="M32" s="112">
        <v>0</v>
      </c>
      <c r="N32" s="112">
        <v>0</v>
      </c>
      <c r="P32" s="107">
        <f>SUM(E32:N32)</f>
        <v>471.31510168522505</v>
      </c>
    </row>
    <row r="33" spans="1:16" ht="11" thickBot="1">
      <c r="A33" s="108" t="s">
        <v>245</v>
      </c>
      <c r="C33" s="12">
        <f>SUM(C28:C32)</f>
        <v>3119</v>
      </c>
      <c r="E33" s="12">
        <f t="shared" ref="E33:M33" si="4">SUM(E28:E32)</f>
        <v>3033</v>
      </c>
      <c r="F33" s="12">
        <f t="shared" si="4"/>
        <v>3241</v>
      </c>
      <c r="G33" s="12">
        <f t="shared" si="4"/>
        <v>2507</v>
      </c>
      <c r="H33" s="12">
        <f t="shared" si="4"/>
        <v>3898.3151016852253</v>
      </c>
      <c r="I33" s="12">
        <f t="shared" si="4"/>
        <v>5640</v>
      </c>
      <c r="J33" s="12">
        <f t="shared" si="4"/>
        <v>5287.6937406749557</v>
      </c>
      <c r="K33" s="12">
        <f t="shared" si="4"/>
        <v>5675.2808600781527</v>
      </c>
      <c r="L33" s="12">
        <f t="shared" si="4"/>
        <v>1970.0651156819513</v>
      </c>
      <c r="M33" s="12">
        <f t="shared" si="4"/>
        <v>1952.9560959952419</v>
      </c>
      <c r="N33" s="12">
        <f>SUM(N28:N32)</f>
        <v>2267.4055159161126</v>
      </c>
      <c r="P33" s="12">
        <f>SUM(P28:P32)</f>
        <v>35472.716430031644</v>
      </c>
    </row>
    <row r="34" spans="1:16" ht="5.25" customHeight="1" thickBot="1">
      <c r="A34" s="110"/>
    </row>
    <row r="35" spans="1:16" ht="11" thickBot="1">
      <c r="A35" s="108" t="s">
        <v>246</v>
      </c>
      <c r="C35" s="12">
        <f>C25-C33</f>
        <v>-807</v>
      </c>
      <c r="E35" s="12">
        <f t="shared" ref="E35:M35" si="5">E25-E33</f>
        <v>-709</v>
      </c>
      <c r="F35" s="12">
        <f t="shared" si="5"/>
        <v>-1191</v>
      </c>
      <c r="G35" s="12">
        <f t="shared" si="5"/>
        <v>-1546</v>
      </c>
      <c r="H35" s="12">
        <f t="shared" si="5"/>
        <v>-1012.9638586915435</v>
      </c>
      <c r="I35" s="12">
        <f t="shared" si="5"/>
        <v>-1278.047919102044</v>
      </c>
      <c r="J35" s="12">
        <f t="shared" si="5"/>
        <v>-1532.4494258549257</v>
      </c>
      <c r="K35" s="12">
        <f t="shared" si="5"/>
        <v>-1799.9415703640143</v>
      </c>
      <c r="L35" s="12">
        <f t="shared" si="5"/>
        <v>-1906.1151301032346</v>
      </c>
      <c r="M35" s="12">
        <f t="shared" si="5"/>
        <v>-2083.1269389069257</v>
      </c>
      <c r="N35" s="12">
        <f>N25-N33</f>
        <v>-2180.1219065112946</v>
      </c>
      <c r="P35" s="12">
        <f>P25-P33</f>
        <v>-15238.766749533985</v>
      </c>
    </row>
    <row r="36" spans="1:16" ht="5.25" customHeight="1" thickBot="1">
      <c r="A36" s="111"/>
    </row>
    <row r="37" spans="1:16" ht="11" thickBot="1">
      <c r="A37" s="108" t="s">
        <v>247</v>
      </c>
      <c r="C37" s="12">
        <f>C17+C35</f>
        <v>-1</v>
      </c>
      <c r="E37" s="12">
        <f t="shared" ref="E37:M37" si="6">E17+E35</f>
        <v>5.7000000000016371E-2</v>
      </c>
      <c r="F37" s="12">
        <f t="shared" si="6"/>
        <v>0</v>
      </c>
      <c r="G37" s="12">
        <f t="shared" si="6"/>
        <v>0</v>
      </c>
      <c r="H37" s="12">
        <f t="shared" si="6"/>
        <v>0</v>
      </c>
      <c r="I37" s="12">
        <f t="shared" si="6"/>
        <v>0</v>
      </c>
      <c r="J37" s="12">
        <f t="shared" si="6"/>
        <v>0</v>
      </c>
      <c r="K37" s="12">
        <f t="shared" si="6"/>
        <v>0.44273222024867209</v>
      </c>
      <c r="L37" s="12">
        <f t="shared" si="6"/>
        <v>0.86693579405573473</v>
      </c>
      <c r="M37" s="12">
        <f t="shared" si="6"/>
        <v>1.4508028025493331</v>
      </c>
      <c r="N37" s="12">
        <f>N17+N35</f>
        <v>1.7222509572138733</v>
      </c>
      <c r="P37" s="12">
        <f>P17+P35</f>
        <v>4.5397217740610358</v>
      </c>
    </row>
    <row r="38" spans="1:16" ht="11" thickBot="1"/>
    <row r="39" spans="1:16" ht="11" thickBot="1">
      <c r="A39" s="104" t="s">
        <v>248</v>
      </c>
      <c r="B39" s="91"/>
      <c r="C39" s="91" t="s">
        <v>29</v>
      </c>
      <c r="D39" s="91"/>
      <c r="E39" s="91" t="s">
        <v>19</v>
      </c>
      <c r="F39" s="91" t="s">
        <v>20</v>
      </c>
      <c r="G39" s="91" t="s">
        <v>21</v>
      </c>
      <c r="H39" s="91" t="s">
        <v>22</v>
      </c>
      <c r="I39" s="91" t="s">
        <v>23</v>
      </c>
      <c r="J39" s="91" t="s">
        <v>24</v>
      </c>
      <c r="K39" s="91" t="s">
        <v>25</v>
      </c>
      <c r="L39" s="91" t="s">
        <v>26</v>
      </c>
      <c r="M39" s="91" t="s">
        <v>27</v>
      </c>
      <c r="N39" s="91" t="s">
        <v>28</v>
      </c>
      <c r="O39" s="105"/>
    </row>
    <row r="40" spans="1:16" ht="11" thickBot="1">
      <c r="A40" s="5" t="s">
        <v>181</v>
      </c>
      <c r="C40" s="61">
        <f>C$8</f>
        <v>2938</v>
      </c>
      <c r="E40" s="61">
        <f t="shared" ref="E40:N40" si="7">E$8</f>
        <v>2520</v>
      </c>
      <c r="F40" s="61">
        <f t="shared" si="7"/>
        <v>3221</v>
      </c>
      <c r="G40" s="61">
        <f t="shared" si="7"/>
        <v>3786</v>
      </c>
      <c r="H40" s="61">
        <f t="shared" si="7"/>
        <v>3910.4589788433495</v>
      </c>
      <c r="I40" s="61">
        <f t="shared" si="7"/>
        <v>4331.0102090511646</v>
      </c>
      <c r="J40" s="61">
        <f t="shared" si="7"/>
        <v>4701.5096302153552</v>
      </c>
      <c r="K40" s="61">
        <f t="shared" si="7"/>
        <v>5169.2087578441788</v>
      </c>
      <c r="L40" s="61">
        <f t="shared" si="7"/>
        <v>5307.1192053810091</v>
      </c>
      <c r="M40" s="61">
        <f t="shared" si="7"/>
        <v>5543.2319137093664</v>
      </c>
      <c r="N40" s="61">
        <f t="shared" si="7"/>
        <v>5702.2963519758132</v>
      </c>
    </row>
    <row r="41" spans="1:16" ht="11" thickBot="1">
      <c r="A41" s="5" t="s">
        <v>249</v>
      </c>
      <c r="C41" s="61">
        <f>C$20+C$21+C$23+C$24</f>
        <v>40</v>
      </c>
      <c r="E41" s="61">
        <f t="shared" ref="E41:N41" si="8">E$20+E$21+E$23+E$24</f>
        <v>128</v>
      </c>
      <c r="F41" s="61">
        <f t="shared" si="8"/>
        <v>131</v>
      </c>
      <c r="G41" s="61">
        <f t="shared" si="8"/>
        <v>134</v>
      </c>
      <c r="H41" s="61">
        <f t="shared" si="8"/>
        <v>136</v>
      </c>
      <c r="I41" s="61">
        <f t="shared" si="8"/>
        <v>138</v>
      </c>
      <c r="J41" s="61">
        <f t="shared" si="8"/>
        <v>139</v>
      </c>
      <c r="K41" s="61">
        <f t="shared" si="8"/>
        <v>140</v>
      </c>
      <c r="L41" s="61">
        <f t="shared" si="8"/>
        <v>142</v>
      </c>
      <c r="M41" s="61">
        <f t="shared" si="8"/>
        <v>143</v>
      </c>
      <c r="N41" s="61">
        <f t="shared" si="8"/>
        <v>145</v>
      </c>
    </row>
    <row r="42" spans="1:16" ht="11" thickBot="1">
      <c r="A42" s="108" t="s">
        <v>250</v>
      </c>
      <c r="C42" s="12">
        <f>SUM(C40:C41)</f>
        <v>2978</v>
      </c>
      <c r="E42" s="12">
        <f t="shared" ref="E42:N42" si="9">SUM(E40:E41)</f>
        <v>2648</v>
      </c>
      <c r="F42" s="12">
        <f t="shared" si="9"/>
        <v>3352</v>
      </c>
      <c r="G42" s="12">
        <f t="shared" si="9"/>
        <v>3920</v>
      </c>
      <c r="H42" s="12">
        <f t="shared" si="9"/>
        <v>4046.4589788433495</v>
      </c>
      <c r="I42" s="12">
        <f t="shared" si="9"/>
        <v>4469.0102090511646</v>
      </c>
      <c r="J42" s="12">
        <f t="shared" si="9"/>
        <v>4840.5096302153552</v>
      </c>
      <c r="K42" s="12">
        <f t="shared" si="9"/>
        <v>5309.2087578441788</v>
      </c>
      <c r="L42" s="12">
        <f t="shared" si="9"/>
        <v>5449.1192053810091</v>
      </c>
      <c r="M42" s="12">
        <f t="shared" si="9"/>
        <v>5686.2319137093664</v>
      </c>
      <c r="N42" s="12">
        <f t="shared" si="9"/>
        <v>5847.2963519758132</v>
      </c>
    </row>
    <row r="43" spans="1:16" ht="5.25" customHeight="1" thickBot="1">
      <c r="A43" s="5"/>
      <c r="C43" s="60"/>
      <c r="E43" s="60"/>
      <c r="F43" s="60"/>
      <c r="G43" s="60"/>
      <c r="H43" s="60"/>
      <c r="I43" s="60"/>
      <c r="J43" s="60"/>
      <c r="K43" s="60"/>
      <c r="L43" s="60"/>
      <c r="M43" s="60"/>
      <c r="N43" s="60"/>
    </row>
    <row r="44" spans="1:16" ht="11" thickBot="1">
      <c r="A44" s="5" t="s">
        <v>251</v>
      </c>
      <c r="C44" s="61">
        <f>C$11+C$14</f>
        <v>1083</v>
      </c>
      <c r="E44" s="61">
        <f t="shared" ref="E44:N44" si="10">E$11+E$14</f>
        <v>995</v>
      </c>
      <c r="F44" s="61">
        <f t="shared" si="10"/>
        <v>1038</v>
      </c>
      <c r="G44" s="61">
        <f t="shared" si="10"/>
        <v>1136</v>
      </c>
      <c r="H44" s="61">
        <f t="shared" si="10"/>
        <v>1299.6246669702628</v>
      </c>
      <c r="I44" s="61">
        <f t="shared" si="10"/>
        <v>1334.8402836445193</v>
      </c>
      <c r="J44" s="61">
        <f t="shared" si="10"/>
        <v>1321.4985718922726</v>
      </c>
      <c r="K44" s="61">
        <f t="shared" si="10"/>
        <v>1416.4390035907386</v>
      </c>
      <c r="L44" s="61">
        <f t="shared" si="10"/>
        <v>1371.894494583458</v>
      </c>
      <c r="M44" s="61">
        <f t="shared" si="10"/>
        <v>1390.8446464195099</v>
      </c>
      <c r="N44" s="61">
        <f t="shared" si="10"/>
        <v>1422.6070220064119</v>
      </c>
    </row>
    <row r="45" spans="1:16" ht="11" thickBot="1">
      <c r="A45" s="5" t="s">
        <v>230</v>
      </c>
      <c r="C45" s="61">
        <f>C$12</f>
        <v>140</v>
      </c>
      <c r="E45" s="61">
        <f t="shared" ref="E45:N45" si="11">E$12</f>
        <v>60.942999999999998</v>
      </c>
      <c r="F45" s="61">
        <f t="shared" si="11"/>
        <v>208</v>
      </c>
      <c r="G45" s="61">
        <f t="shared" si="11"/>
        <v>286</v>
      </c>
      <c r="H45" s="61">
        <f t="shared" si="11"/>
        <v>781.87045318154355</v>
      </c>
      <c r="I45" s="61">
        <f t="shared" si="11"/>
        <v>877.12200630460109</v>
      </c>
      <c r="J45" s="61">
        <f t="shared" si="11"/>
        <v>978.56163246815709</v>
      </c>
      <c r="K45" s="61">
        <f t="shared" si="11"/>
        <v>1074.3854516691772</v>
      </c>
      <c r="L45" s="61">
        <f t="shared" si="11"/>
        <v>1131.242644900261</v>
      </c>
      <c r="M45" s="61">
        <f t="shared" si="11"/>
        <v>1142.8095255803812</v>
      </c>
      <c r="N45" s="61">
        <f t="shared" si="11"/>
        <v>1159.8451725008931</v>
      </c>
    </row>
    <row r="46" spans="1:16" ht="11" thickBot="1">
      <c r="A46" s="5" t="s">
        <v>252</v>
      </c>
      <c r="C46" s="61">
        <f>C$13</f>
        <v>909</v>
      </c>
      <c r="E46" s="61">
        <f t="shared" ref="E46:N46" si="12">E$13</f>
        <v>755</v>
      </c>
      <c r="F46" s="61">
        <f t="shared" si="12"/>
        <v>784</v>
      </c>
      <c r="G46" s="61">
        <f t="shared" si="12"/>
        <v>818</v>
      </c>
      <c r="H46" s="61">
        <f t="shared" si="12"/>
        <v>816</v>
      </c>
      <c r="I46" s="61">
        <f t="shared" si="12"/>
        <v>841</v>
      </c>
      <c r="J46" s="61">
        <f t="shared" si="12"/>
        <v>869</v>
      </c>
      <c r="K46" s="61">
        <f t="shared" si="12"/>
        <v>878</v>
      </c>
      <c r="L46" s="61">
        <f t="shared" si="12"/>
        <v>897</v>
      </c>
      <c r="M46" s="61">
        <f t="shared" si="12"/>
        <v>925</v>
      </c>
      <c r="N46" s="61">
        <f t="shared" si="12"/>
        <v>938</v>
      </c>
    </row>
    <row r="47" spans="1:16" ht="11" thickBot="1">
      <c r="A47" s="5" t="s">
        <v>253</v>
      </c>
      <c r="C47" s="61">
        <f>Input!O18</f>
        <v>1344</v>
      </c>
      <c r="E47" s="61">
        <f>Input!C$18</f>
        <v>1344</v>
      </c>
      <c r="F47" s="61">
        <f>Input!D$18</f>
        <v>1054</v>
      </c>
      <c r="G47" s="61">
        <f>Input!E$18</f>
        <v>1219</v>
      </c>
      <c r="H47" s="61">
        <f>Input!F$18</f>
        <v>1227</v>
      </c>
      <c r="I47" s="61">
        <f>Input!G$18</f>
        <v>1362</v>
      </c>
      <c r="J47" s="61">
        <f>Input!H$18</f>
        <v>1451</v>
      </c>
      <c r="K47" s="61">
        <f>Input!I$18</f>
        <v>1554.9282937929047</v>
      </c>
      <c r="L47" s="61">
        <f>Input!J$18</f>
        <v>1757.6813153104508</v>
      </c>
      <c r="M47" s="61">
        <f>Input!K$18</f>
        <v>1816.3290457358023</v>
      </c>
      <c r="N47" s="61">
        <f>Input!L$18</f>
        <v>1810.7399497736103</v>
      </c>
    </row>
    <row r="48" spans="1:16" ht="11" thickBot="1">
      <c r="A48" s="108" t="s">
        <v>254</v>
      </c>
      <c r="C48" s="12">
        <f>SUM(C44:C47)</f>
        <v>3476</v>
      </c>
      <c r="E48" s="12">
        <f t="shared" ref="E48:N48" si="13">SUM(E44:E47)</f>
        <v>3154.9430000000002</v>
      </c>
      <c r="F48" s="12">
        <f t="shared" si="13"/>
        <v>3084</v>
      </c>
      <c r="G48" s="12">
        <f t="shared" si="13"/>
        <v>3459</v>
      </c>
      <c r="H48" s="12">
        <f t="shared" si="13"/>
        <v>4124.4951201518061</v>
      </c>
      <c r="I48" s="12">
        <f t="shared" si="13"/>
        <v>4414.9622899491205</v>
      </c>
      <c r="J48" s="12">
        <f t="shared" si="13"/>
        <v>4620.0602043604295</v>
      </c>
      <c r="K48" s="12">
        <f t="shared" si="13"/>
        <v>4923.7527490528209</v>
      </c>
      <c r="L48" s="12">
        <f t="shared" si="13"/>
        <v>5157.8184547941692</v>
      </c>
      <c r="M48" s="12">
        <f t="shared" si="13"/>
        <v>5274.9832177356939</v>
      </c>
      <c r="N48" s="12">
        <f t="shared" si="13"/>
        <v>5331.1921442809153</v>
      </c>
    </row>
    <row r="49" spans="1:15" ht="5.25" customHeight="1" thickBot="1">
      <c r="A49" s="5"/>
      <c r="C49" s="61"/>
      <c r="E49" s="60"/>
      <c r="F49" s="60"/>
      <c r="G49" s="60"/>
      <c r="H49" s="60"/>
      <c r="I49" s="60"/>
      <c r="J49" s="60"/>
      <c r="K49" s="60"/>
      <c r="L49" s="60"/>
      <c r="M49" s="60"/>
      <c r="N49" s="60"/>
    </row>
    <row r="50" spans="1:15" ht="11" thickBot="1">
      <c r="A50" s="108" t="s">
        <v>255</v>
      </c>
      <c r="C50" s="12">
        <f>C42-C48</f>
        <v>-498</v>
      </c>
      <c r="E50" s="12">
        <f t="shared" ref="E50:N50" si="14">E42-E48</f>
        <v>-506.94300000000021</v>
      </c>
      <c r="F50" s="12">
        <f t="shared" si="14"/>
        <v>268</v>
      </c>
      <c r="G50" s="12">
        <f t="shared" si="14"/>
        <v>461</v>
      </c>
      <c r="H50" s="12">
        <f t="shared" si="14"/>
        <v>-78.036141308456536</v>
      </c>
      <c r="I50" s="12">
        <f t="shared" si="14"/>
        <v>54.047919102044034</v>
      </c>
      <c r="J50" s="12">
        <f t="shared" si="14"/>
        <v>220.44942585492572</v>
      </c>
      <c r="K50" s="12">
        <f t="shared" si="14"/>
        <v>385.45600879135782</v>
      </c>
      <c r="L50" s="12">
        <f t="shared" si="14"/>
        <v>291.30075058683997</v>
      </c>
      <c r="M50" s="12">
        <f t="shared" si="14"/>
        <v>411.24869597367251</v>
      </c>
      <c r="N50" s="12">
        <f t="shared" si="14"/>
        <v>516.10420769489792</v>
      </c>
    </row>
    <row r="51" spans="1:15" ht="5.25" customHeight="1" thickBot="1">
      <c r="A51" s="5"/>
      <c r="C51" s="61"/>
      <c r="E51" s="60"/>
      <c r="F51" s="60"/>
      <c r="G51" s="60"/>
      <c r="H51" s="60"/>
      <c r="I51" s="60"/>
      <c r="J51" s="60"/>
      <c r="K51" s="60"/>
      <c r="L51" s="60"/>
      <c r="M51" s="60"/>
      <c r="N51" s="60"/>
    </row>
    <row r="52" spans="1:15" ht="11" thickBot="1">
      <c r="A52" s="5" t="s">
        <v>256</v>
      </c>
      <c r="C52" s="61">
        <f>Input!O23</f>
        <v>0</v>
      </c>
      <c r="E52" s="61">
        <f>Input!C$23</f>
        <v>0</v>
      </c>
      <c r="F52" s="61">
        <f>Input!D$23</f>
        <v>1402.0125839999998</v>
      </c>
      <c r="G52" s="61">
        <f>Input!E$23</f>
        <v>0</v>
      </c>
      <c r="H52" s="61">
        <f>Input!F$23</f>
        <v>1542.9574241663959</v>
      </c>
      <c r="I52" s="61">
        <f>Input!G$23</f>
        <v>0</v>
      </c>
      <c r="J52" s="61">
        <f>Input!H$23</f>
        <v>1847.0529124050479</v>
      </c>
      <c r="K52" s="61">
        <f>Input!I$23</f>
        <v>0</v>
      </c>
      <c r="L52" s="61">
        <f>Input!J$23</f>
        <v>2186.5277809569056</v>
      </c>
      <c r="M52" s="61">
        <f>Input!K$23</f>
        <v>0</v>
      </c>
      <c r="N52" s="61">
        <f>Input!L$23</f>
        <v>2465.6384999949851</v>
      </c>
    </row>
    <row r="53" spans="1:15" ht="11" thickBot="1">
      <c r="A53" s="108" t="s">
        <v>257</v>
      </c>
      <c r="C53" s="12">
        <f>C50+C52</f>
        <v>-498</v>
      </c>
      <c r="E53" s="12">
        <f t="shared" ref="E53:N53" si="15">E50+E52</f>
        <v>-506.94300000000021</v>
      </c>
      <c r="F53" s="12">
        <f t="shared" si="15"/>
        <v>1670.0125839999998</v>
      </c>
      <c r="G53" s="12">
        <f t="shared" si="15"/>
        <v>461</v>
      </c>
      <c r="H53" s="12">
        <f t="shared" si="15"/>
        <v>1464.9212828579393</v>
      </c>
      <c r="I53" s="12">
        <f t="shared" si="15"/>
        <v>54.047919102044034</v>
      </c>
      <c r="J53" s="12">
        <f t="shared" si="15"/>
        <v>2067.5023382599738</v>
      </c>
      <c r="K53" s="12">
        <f t="shared" si="15"/>
        <v>385.45600879135782</v>
      </c>
      <c r="L53" s="12">
        <f t="shared" si="15"/>
        <v>2477.8285315437456</v>
      </c>
      <c r="M53" s="12">
        <f t="shared" si="15"/>
        <v>411.24869597367251</v>
      </c>
      <c r="N53" s="12">
        <f t="shared" si="15"/>
        <v>2981.742707689883</v>
      </c>
    </row>
    <row r="54" spans="1:15" ht="5.25" customHeight="1" thickBot="1">
      <c r="A54" s="5"/>
      <c r="C54" s="61"/>
      <c r="E54" s="60"/>
      <c r="F54" s="60"/>
      <c r="G54" s="60"/>
      <c r="H54" s="60"/>
      <c r="I54" s="60"/>
      <c r="J54" s="60"/>
      <c r="K54" s="60"/>
      <c r="L54" s="60"/>
      <c r="M54" s="60"/>
      <c r="N54" s="60"/>
    </row>
    <row r="55" spans="1:15" ht="11" thickBot="1">
      <c r="A55" s="108" t="s">
        <v>258</v>
      </c>
      <c r="C55" s="12">
        <f>C50+C47</f>
        <v>846</v>
      </c>
      <c r="E55" s="12">
        <f t="shared" ref="E55:N55" si="16">E50+E47</f>
        <v>837.05699999999979</v>
      </c>
      <c r="F55" s="12">
        <f t="shared" si="16"/>
        <v>1322</v>
      </c>
      <c r="G55" s="12">
        <f t="shared" si="16"/>
        <v>1680</v>
      </c>
      <c r="H55" s="12">
        <f t="shared" si="16"/>
        <v>1148.9638586915435</v>
      </c>
      <c r="I55" s="12">
        <f t="shared" si="16"/>
        <v>1416.047919102044</v>
      </c>
      <c r="J55" s="12">
        <f t="shared" si="16"/>
        <v>1671.4494258549257</v>
      </c>
      <c r="K55" s="12">
        <f t="shared" si="16"/>
        <v>1940.3843025842625</v>
      </c>
      <c r="L55" s="12">
        <f t="shared" si="16"/>
        <v>2048.9820658972908</v>
      </c>
      <c r="M55" s="12">
        <f t="shared" si="16"/>
        <v>2227.577741709475</v>
      </c>
      <c r="N55" s="12">
        <f t="shared" si="16"/>
        <v>2326.8441574685085</v>
      </c>
    </row>
    <row r="56" spans="1:15" ht="11" thickBot="1"/>
    <row r="57" spans="1:15" ht="11" thickBot="1">
      <c r="A57" s="104" t="s">
        <v>259</v>
      </c>
      <c r="B57" s="91"/>
      <c r="C57" s="91" t="s">
        <v>29</v>
      </c>
      <c r="D57" s="91"/>
      <c r="E57" s="91" t="s">
        <v>19</v>
      </c>
      <c r="F57" s="91" t="s">
        <v>20</v>
      </c>
      <c r="G57" s="91" t="s">
        <v>21</v>
      </c>
      <c r="H57" s="91" t="s">
        <v>22</v>
      </c>
      <c r="I57" s="91" t="s">
        <v>23</v>
      </c>
      <c r="J57" s="91" t="s">
        <v>24</v>
      </c>
      <c r="K57" s="91" t="s">
        <v>25</v>
      </c>
      <c r="L57" s="91" t="s">
        <v>26</v>
      </c>
      <c r="M57" s="91" t="s">
        <v>27</v>
      </c>
      <c r="N57" s="91" t="s">
        <v>28</v>
      </c>
    </row>
    <row r="58" spans="1:15" ht="11" thickBot="1">
      <c r="A58" s="106" t="s">
        <v>260</v>
      </c>
      <c r="C58" s="4"/>
      <c r="E58" s="4"/>
      <c r="F58" s="4"/>
      <c r="G58" s="4"/>
      <c r="H58" s="4"/>
      <c r="I58" s="4"/>
      <c r="J58" s="4"/>
      <c r="K58" s="4"/>
      <c r="L58" s="4"/>
      <c r="M58" s="4"/>
      <c r="N58" s="4"/>
      <c r="O58" s="105"/>
    </row>
    <row r="59" spans="1:15" ht="11" thickBot="1">
      <c r="A59" s="5" t="s">
        <v>261</v>
      </c>
      <c r="C59" s="61">
        <f>C$55</f>
        <v>846</v>
      </c>
      <c r="E59" s="61">
        <f t="shared" ref="E59:N59" si="17">E$55</f>
        <v>837.05699999999979</v>
      </c>
      <c r="F59" s="61">
        <f t="shared" si="17"/>
        <v>1322</v>
      </c>
      <c r="G59" s="61">
        <f t="shared" si="17"/>
        <v>1680</v>
      </c>
      <c r="H59" s="61">
        <f t="shared" si="17"/>
        <v>1148.9638586915435</v>
      </c>
      <c r="I59" s="61">
        <f t="shared" si="17"/>
        <v>1416.047919102044</v>
      </c>
      <c r="J59" s="61">
        <f t="shared" si="17"/>
        <v>1671.4494258549257</v>
      </c>
      <c r="K59" s="61">
        <f t="shared" si="17"/>
        <v>1940.3843025842625</v>
      </c>
      <c r="L59" s="61">
        <f t="shared" si="17"/>
        <v>2048.9820658972908</v>
      </c>
      <c r="M59" s="61">
        <f t="shared" si="17"/>
        <v>2227.577741709475</v>
      </c>
      <c r="N59" s="61">
        <f t="shared" si="17"/>
        <v>2326.8441574685085</v>
      </c>
    </row>
    <row r="60" spans="1:15" ht="11" thickBot="1">
      <c r="A60" s="5" t="s">
        <v>262</v>
      </c>
      <c r="C60" s="61"/>
      <c r="E60" s="61"/>
      <c r="F60" s="61"/>
      <c r="G60" s="61"/>
      <c r="H60" s="61"/>
      <c r="I60" s="61"/>
      <c r="J60" s="61"/>
      <c r="K60" s="61"/>
      <c r="L60" s="61"/>
      <c r="M60" s="61"/>
      <c r="N60" s="61"/>
    </row>
    <row r="61" spans="1:15" ht="11" thickBot="1">
      <c r="A61" s="108" t="s">
        <v>263</v>
      </c>
      <c r="C61" s="12">
        <f>SUM(C59:C60)</f>
        <v>846</v>
      </c>
      <c r="E61" s="12">
        <f t="shared" ref="E61:N61" si="18">SUM(E59:E60)</f>
        <v>837.05699999999979</v>
      </c>
      <c r="F61" s="12">
        <f t="shared" si="18"/>
        <v>1322</v>
      </c>
      <c r="G61" s="12">
        <f t="shared" si="18"/>
        <v>1680</v>
      </c>
      <c r="H61" s="12">
        <f t="shared" si="18"/>
        <v>1148.9638586915435</v>
      </c>
      <c r="I61" s="12">
        <f t="shared" si="18"/>
        <v>1416.047919102044</v>
      </c>
      <c r="J61" s="12">
        <f t="shared" si="18"/>
        <v>1671.4494258549257</v>
      </c>
      <c r="K61" s="12">
        <f t="shared" si="18"/>
        <v>1940.3843025842625</v>
      </c>
      <c r="L61" s="12">
        <f t="shared" si="18"/>
        <v>2048.9820658972908</v>
      </c>
      <c r="M61" s="12">
        <f t="shared" si="18"/>
        <v>2227.577741709475</v>
      </c>
      <c r="N61" s="12">
        <f t="shared" si="18"/>
        <v>2326.8441574685085</v>
      </c>
    </row>
    <row r="62" spans="1:15" ht="5.25" customHeight="1" thickBot="1">
      <c r="A62" s="5"/>
      <c r="C62" s="61"/>
      <c r="E62" s="60"/>
      <c r="F62" s="60"/>
      <c r="G62" s="60"/>
      <c r="H62" s="60"/>
      <c r="I62" s="60"/>
      <c r="J62" s="60"/>
      <c r="K62" s="60"/>
      <c r="L62" s="60"/>
      <c r="M62" s="60"/>
      <c r="N62" s="60"/>
    </row>
    <row r="63" spans="1:15" ht="11" thickBot="1">
      <c r="A63" s="106" t="s">
        <v>264</v>
      </c>
      <c r="C63" s="4"/>
      <c r="E63" s="4"/>
      <c r="F63" s="4"/>
      <c r="G63" s="4"/>
      <c r="H63" s="4"/>
      <c r="I63" s="4"/>
      <c r="J63" s="4"/>
      <c r="K63" s="4"/>
      <c r="L63" s="4"/>
      <c r="M63" s="4"/>
      <c r="N63" s="4"/>
      <c r="O63" s="105"/>
    </row>
    <row r="64" spans="1:15" ht="11" thickBot="1">
      <c r="A64" s="5" t="s">
        <v>262</v>
      </c>
      <c r="C64" s="61"/>
      <c r="E64" s="61"/>
      <c r="F64" s="61"/>
      <c r="G64" s="61"/>
      <c r="H64" s="61">
        <f t="shared" ref="H64" si="19">-H32</f>
        <v>-471.31510168522505</v>
      </c>
      <c r="I64" s="61"/>
      <c r="J64" s="61"/>
      <c r="K64" s="61"/>
      <c r="L64" s="61"/>
      <c r="M64" s="61"/>
      <c r="N64" s="61"/>
    </row>
    <row r="65" spans="1:15" ht="11" thickBot="1">
      <c r="A65" s="5" t="s">
        <v>171</v>
      </c>
      <c r="C65" s="61">
        <f>-SUM(C$28:C$30)</f>
        <v>-1978</v>
      </c>
      <c r="E65" s="61">
        <f t="shared" ref="E65:N65" si="20">-SUM(E$28:E$30)</f>
        <v>-2970</v>
      </c>
      <c r="F65" s="61">
        <f t="shared" si="20"/>
        <v>-2710</v>
      </c>
      <c r="G65" s="61">
        <f t="shared" si="20"/>
        <v>-1570</v>
      </c>
      <c r="H65" s="61">
        <f t="shared" si="20"/>
        <v>-2396</v>
      </c>
      <c r="I65" s="61">
        <f t="shared" si="20"/>
        <v>-4781</v>
      </c>
      <c r="J65" s="61">
        <f t="shared" si="20"/>
        <v>-4307.6937406749557</v>
      </c>
      <c r="K65" s="61">
        <f t="shared" si="20"/>
        <v>-4624.2808600781527</v>
      </c>
      <c r="L65" s="61">
        <f t="shared" si="20"/>
        <v>-3124.0651156819513</v>
      </c>
      <c r="M65" s="61">
        <f t="shared" si="20"/>
        <v>-4006.9560959952419</v>
      </c>
      <c r="N65" s="61">
        <f t="shared" si="20"/>
        <v>-3307.4055159161126</v>
      </c>
    </row>
    <row r="66" spans="1:15" ht="11" thickBot="1">
      <c r="A66" s="108" t="s">
        <v>265</v>
      </c>
      <c r="C66" s="12">
        <f>SUM(C64:C65)</f>
        <v>-1978</v>
      </c>
      <c r="E66" s="12">
        <f t="shared" ref="E66:N66" si="21">SUM(E64:E65)</f>
        <v>-2970</v>
      </c>
      <c r="F66" s="12">
        <f t="shared" si="21"/>
        <v>-2710</v>
      </c>
      <c r="G66" s="12">
        <f t="shared" si="21"/>
        <v>-1570</v>
      </c>
      <c r="H66" s="12">
        <f t="shared" si="21"/>
        <v>-2867.3151016852253</v>
      </c>
      <c r="I66" s="12">
        <f t="shared" si="21"/>
        <v>-4781</v>
      </c>
      <c r="J66" s="12">
        <f t="shared" si="21"/>
        <v>-4307.6937406749557</v>
      </c>
      <c r="K66" s="12">
        <f t="shared" si="21"/>
        <v>-4624.2808600781527</v>
      </c>
      <c r="L66" s="12">
        <f t="shared" si="21"/>
        <v>-3124.0651156819513</v>
      </c>
      <c r="M66" s="12">
        <f t="shared" si="21"/>
        <v>-4006.9560959952419</v>
      </c>
      <c r="N66" s="12">
        <f t="shared" si="21"/>
        <v>-3307.4055159161126</v>
      </c>
    </row>
    <row r="67" spans="1:15" ht="5.25" customHeight="1" thickBot="1">
      <c r="A67" s="5"/>
      <c r="C67" s="61"/>
      <c r="E67" s="60"/>
      <c r="F67" s="60"/>
      <c r="G67" s="60"/>
      <c r="H67" s="60"/>
      <c r="I67" s="60"/>
      <c r="J67" s="60"/>
      <c r="K67" s="60"/>
      <c r="L67" s="60"/>
      <c r="M67" s="60"/>
      <c r="N67" s="60"/>
    </row>
    <row r="68" spans="1:15" ht="11" thickBot="1">
      <c r="A68" s="106" t="s">
        <v>266</v>
      </c>
      <c r="C68" s="4"/>
      <c r="E68" s="4"/>
      <c r="F68" s="4"/>
      <c r="G68" s="4"/>
      <c r="H68" s="4"/>
      <c r="I68" s="4"/>
      <c r="J68" s="4"/>
      <c r="K68" s="4"/>
      <c r="L68" s="4"/>
      <c r="M68" s="4"/>
      <c r="N68" s="4"/>
      <c r="O68" s="105"/>
    </row>
    <row r="69" spans="1:15" ht="11" thickBot="1">
      <c r="A69" s="5" t="s">
        <v>267</v>
      </c>
      <c r="C69" s="61">
        <f>C$22-C$70-C31</f>
        <v>1131</v>
      </c>
      <c r="E69" s="61">
        <f>E$22-E$70-E31</f>
        <v>2133</v>
      </c>
      <c r="F69" s="61">
        <f t="shared" ref="F69:N69" si="22">F$22-F$70-F31</f>
        <v>1388</v>
      </c>
      <c r="G69" s="61">
        <f t="shared" si="22"/>
        <v>-110</v>
      </c>
      <c r="H69" s="61">
        <f t="shared" si="22"/>
        <v>1718.3512429936818</v>
      </c>
      <c r="I69" s="61">
        <f t="shared" si="22"/>
        <v>3364.952080897956</v>
      </c>
      <c r="J69" s="61">
        <f t="shared" si="22"/>
        <v>2636.24431482003</v>
      </c>
      <c r="K69" s="61">
        <f t="shared" si="22"/>
        <v>2684.3392897141384</v>
      </c>
      <c r="L69" s="61">
        <f t="shared" si="22"/>
        <v>1075.9499855787167</v>
      </c>
      <c r="M69" s="61">
        <f t="shared" si="22"/>
        <v>1780.8291570883162</v>
      </c>
      <c r="N69" s="61">
        <f t="shared" si="22"/>
        <v>982.28360940481798</v>
      </c>
    </row>
    <row r="70" spans="1:15" ht="11" thickBot="1">
      <c r="A70" s="5" t="s">
        <v>268</v>
      </c>
      <c r="C70" s="61"/>
      <c r="E70" s="61"/>
      <c r="F70" s="61"/>
      <c r="G70" s="61"/>
      <c r="H70" s="61"/>
      <c r="I70" s="61"/>
      <c r="J70" s="61"/>
      <c r="K70" s="61"/>
      <c r="L70" s="61"/>
      <c r="M70" s="61"/>
      <c r="N70" s="61"/>
    </row>
    <row r="71" spans="1:15" ht="11" thickBot="1">
      <c r="A71" s="108" t="s">
        <v>269</v>
      </c>
      <c r="C71" s="12">
        <f>SUM(C69:C70)</f>
        <v>1131</v>
      </c>
      <c r="E71" s="12">
        <f t="shared" ref="E71:N71" si="23">SUM(E69:E70)</f>
        <v>2133</v>
      </c>
      <c r="F71" s="12">
        <f t="shared" si="23"/>
        <v>1388</v>
      </c>
      <c r="G71" s="12">
        <f t="shared" si="23"/>
        <v>-110</v>
      </c>
      <c r="H71" s="12">
        <f t="shared" si="23"/>
        <v>1718.3512429936818</v>
      </c>
      <c r="I71" s="12">
        <f t="shared" si="23"/>
        <v>3364.952080897956</v>
      </c>
      <c r="J71" s="12">
        <f t="shared" si="23"/>
        <v>2636.24431482003</v>
      </c>
      <c r="K71" s="12">
        <f t="shared" si="23"/>
        <v>2684.3392897141384</v>
      </c>
      <c r="L71" s="12">
        <f t="shared" si="23"/>
        <v>1075.9499855787167</v>
      </c>
      <c r="M71" s="12">
        <f t="shared" si="23"/>
        <v>1780.8291570883162</v>
      </c>
      <c r="N71" s="12">
        <f t="shared" si="23"/>
        <v>982.28360940481798</v>
      </c>
    </row>
    <row r="72" spans="1:15" ht="5.25" customHeight="1" thickBot="1">
      <c r="A72" s="5"/>
      <c r="C72" s="60"/>
      <c r="E72" s="60"/>
      <c r="F72" s="60"/>
      <c r="G72" s="60"/>
      <c r="H72" s="60"/>
      <c r="I72" s="60"/>
      <c r="J72" s="60"/>
      <c r="K72" s="60"/>
      <c r="L72" s="60"/>
      <c r="M72" s="60"/>
      <c r="N72" s="60"/>
    </row>
    <row r="73" spans="1:15" ht="11" thickBot="1">
      <c r="A73" s="108" t="s">
        <v>270</v>
      </c>
      <c r="C73" s="12">
        <f>C61+C66+C71</f>
        <v>-1</v>
      </c>
      <c r="E73" s="12">
        <f t="shared" ref="E73:N73" si="24">E61+E66+E71</f>
        <v>5.6999999999788997E-2</v>
      </c>
      <c r="F73" s="12">
        <f t="shared" si="24"/>
        <v>0</v>
      </c>
      <c r="G73" s="12">
        <f t="shared" si="24"/>
        <v>0</v>
      </c>
      <c r="H73" s="12">
        <f t="shared" si="24"/>
        <v>0</v>
      </c>
      <c r="I73" s="12">
        <f t="shared" si="24"/>
        <v>0</v>
      </c>
      <c r="J73" s="12">
        <f t="shared" si="24"/>
        <v>0</v>
      </c>
      <c r="K73" s="12">
        <f t="shared" si="24"/>
        <v>0.44273222024821735</v>
      </c>
      <c r="L73" s="12">
        <f t="shared" si="24"/>
        <v>0.86693579405618948</v>
      </c>
      <c r="M73" s="12">
        <f t="shared" si="24"/>
        <v>1.4508028025493331</v>
      </c>
      <c r="N73" s="12">
        <f t="shared" si="24"/>
        <v>1.7222509572138733</v>
      </c>
    </row>
    <row r="74" spans="1:15" ht="5.25" customHeight="1" thickBot="1">
      <c r="A74" s="5"/>
      <c r="C74" s="60"/>
      <c r="E74" s="60"/>
      <c r="F74" s="60"/>
      <c r="G74" s="60"/>
      <c r="H74" s="60"/>
      <c r="I74" s="60"/>
      <c r="J74" s="60"/>
      <c r="K74" s="60"/>
      <c r="L74" s="60"/>
      <c r="M74" s="60"/>
      <c r="N74" s="60"/>
    </row>
    <row r="75" spans="1:15" ht="11" thickBot="1">
      <c r="A75" s="108" t="s">
        <v>271</v>
      </c>
      <c r="C75" s="12">
        <f>C76-C73</f>
        <v>90</v>
      </c>
      <c r="E75" s="12">
        <f>C76</f>
        <v>89</v>
      </c>
      <c r="F75" s="12">
        <f t="shared" ref="F75:N75" si="25">E76</f>
        <v>89.056999999999789</v>
      </c>
      <c r="G75" s="12">
        <f t="shared" si="25"/>
        <v>89.056999999999789</v>
      </c>
      <c r="H75" s="12">
        <f t="shared" si="25"/>
        <v>89.056999999999789</v>
      </c>
      <c r="I75" s="12">
        <f t="shared" si="25"/>
        <v>89.056999999999789</v>
      </c>
      <c r="J75" s="12">
        <f t="shared" si="25"/>
        <v>89.056999999999789</v>
      </c>
      <c r="K75" s="12">
        <f t="shared" si="25"/>
        <v>89.056999999999789</v>
      </c>
      <c r="L75" s="12">
        <f t="shared" si="25"/>
        <v>89.499732220248006</v>
      </c>
      <c r="M75" s="12">
        <f t="shared" si="25"/>
        <v>90.366668014304196</v>
      </c>
      <c r="N75" s="12">
        <f t="shared" si="25"/>
        <v>91.817470816853529</v>
      </c>
    </row>
    <row r="76" spans="1:15" ht="11" thickBot="1">
      <c r="A76" s="108" t="s">
        <v>272</v>
      </c>
      <c r="C76" s="12">
        <f>C80</f>
        <v>89</v>
      </c>
      <c r="E76" s="12">
        <f t="shared" ref="E76:N76" si="26">E73+E75</f>
        <v>89.056999999999789</v>
      </c>
      <c r="F76" s="12">
        <f t="shared" si="26"/>
        <v>89.056999999999789</v>
      </c>
      <c r="G76" s="12">
        <f t="shared" si="26"/>
        <v>89.056999999999789</v>
      </c>
      <c r="H76" s="12">
        <f t="shared" si="26"/>
        <v>89.056999999999789</v>
      </c>
      <c r="I76" s="12">
        <f t="shared" si="26"/>
        <v>89.056999999999789</v>
      </c>
      <c r="J76" s="12">
        <f t="shared" si="26"/>
        <v>89.056999999999789</v>
      </c>
      <c r="K76" s="12">
        <f t="shared" si="26"/>
        <v>89.499732220248006</v>
      </c>
      <c r="L76" s="12">
        <f t="shared" si="26"/>
        <v>90.366668014304196</v>
      </c>
      <c r="M76" s="12">
        <f t="shared" si="26"/>
        <v>91.817470816853529</v>
      </c>
      <c r="N76" s="12">
        <f t="shared" si="26"/>
        <v>93.539721774067402</v>
      </c>
    </row>
    <row r="77" spans="1:15" ht="11" thickBot="1"/>
    <row r="78" spans="1:15" ht="11" thickBot="1">
      <c r="A78" s="104" t="s">
        <v>273</v>
      </c>
      <c r="B78" s="91"/>
      <c r="C78" s="91" t="s">
        <v>29</v>
      </c>
      <c r="D78" s="91"/>
      <c r="E78" s="91" t="s">
        <v>19</v>
      </c>
      <c r="F78" s="91" t="s">
        <v>20</v>
      </c>
      <c r="G78" s="91" t="s">
        <v>21</v>
      </c>
      <c r="H78" s="91" t="s">
        <v>22</v>
      </c>
      <c r="I78" s="91" t="s">
        <v>23</v>
      </c>
      <c r="J78" s="91" t="s">
        <v>24</v>
      </c>
      <c r="K78" s="91" t="s">
        <v>25</v>
      </c>
      <c r="L78" s="91" t="s">
        <v>26</v>
      </c>
      <c r="M78" s="91" t="s">
        <v>27</v>
      </c>
      <c r="N78" s="91" t="s">
        <v>28</v>
      </c>
      <c r="O78" s="105"/>
    </row>
    <row r="79" spans="1:15" ht="11" thickBot="1">
      <c r="A79" s="106" t="s">
        <v>274</v>
      </c>
      <c r="C79" s="4"/>
      <c r="E79" s="4"/>
      <c r="F79" s="4"/>
      <c r="G79" s="4"/>
      <c r="H79" s="4"/>
      <c r="I79" s="4"/>
      <c r="J79" s="4"/>
      <c r="K79" s="4"/>
      <c r="L79" s="4"/>
      <c r="M79" s="4"/>
      <c r="N79" s="4"/>
      <c r="O79" s="105"/>
    </row>
    <row r="80" spans="1:15" ht="11" thickBot="1">
      <c r="A80" s="5" t="s">
        <v>275</v>
      </c>
      <c r="C80" s="61">
        <f>Input!$C$9</f>
        <v>89</v>
      </c>
      <c r="E80" s="61">
        <f t="shared" ref="E80:N80" si="27">E76</f>
        <v>89.056999999999789</v>
      </c>
      <c r="F80" s="61">
        <f t="shared" si="27"/>
        <v>89.056999999999789</v>
      </c>
      <c r="G80" s="61">
        <f t="shared" si="27"/>
        <v>89.056999999999789</v>
      </c>
      <c r="H80" s="61">
        <f t="shared" si="27"/>
        <v>89.056999999999789</v>
      </c>
      <c r="I80" s="61">
        <f t="shared" si="27"/>
        <v>89.056999999999789</v>
      </c>
      <c r="J80" s="61">
        <f t="shared" si="27"/>
        <v>89.056999999999789</v>
      </c>
      <c r="K80" s="61">
        <f t="shared" si="27"/>
        <v>89.499732220248006</v>
      </c>
      <c r="L80" s="61">
        <f t="shared" si="27"/>
        <v>90.366668014304196</v>
      </c>
      <c r="M80" s="61">
        <f t="shared" si="27"/>
        <v>91.817470816853529</v>
      </c>
      <c r="N80" s="61">
        <f t="shared" si="27"/>
        <v>93.539721774067402</v>
      </c>
    </row>
    <row r="81" spans="1:15" ht="11" thickBot="1">
      <c r="A81" s="5" t="s">
        <v>276</v>
      </c>
      <c r="C81" s="61"/>
      <c r="E81" s="61"/>
      <c r="F81" s="61"/>
      <c r="G81" s="61"/>
      <c r="H81" s="61"/>
      <c r="I81" s="61"/>
      <c r="J81" s="61"/>
      <c r="K81" s="61"/>
      <c r="L81" s="61"/>
      <c r="M81" s="61"/>
      <c r="N81" s="61"/>
    </row>
    <row r="82" spans="1:15" ht="11" thickBot="1">
      <c r="A82" s="5" t="s">
        <v>277</v>
      </c>
      <c r="C82" s="61">
        <f>Input!$C$7-Input!$C$8</f>
        <v>26073</v>
      </c>
      <c r="E82" s="61">
        <f>$C$82-E$47+SUM(E$28:E$30)+E$52</f>
        <v>27699</v>
      </c>
      <c r="F82" s="61">
        <f t="shared" ref="F82:N82" si="28">E$82-F$47+SUM(F$28:F$30)+F$52</f>
        <v>30757.012584</v>
      </c>
      <c r="G82" s="61">
        <f t="shared" si="28"/>
        <v>31108.012584</v>
      </c>
      <c r="H82" s="61">
        <f t="shared" si="28"/>
        <v>33819.970008166398</v>
      </c>
      <c r="I82" s="61">
        <f t="shared" si="28"/>
        <v>37238.970008166398</v>
      </c>
      <c r="J82" s="61">
        <f t="shared" si="28"/>
        <v>41942.716661246399</v>
      </c>
      <c r="K82" s="61">
        <f t="shared" si="28"/>
        <v>45012.069227531647</v>
      </c>
      <c r="L82" s="61">
        <f t="shared" si="28"/>
        <v>48564.980808860055</v>
      </c>
      <c r="M82" s="61">
        <f t="shared" si="28"/>
        <v>50755.607859119496</v>
      </c>
      <c r="N82" s="61">
        <f t="shared" si="28"/>
        <v>54717.911925256987</v>
      </c>
    </row>
    <row r="83" spans="1:15" ht="11" thickBot="1">
      <c r="A83" s="5" t="s">
        <v>278</v>
      </c>
      <c r="C83" s="61"/>
      <c r="E83" s="61">
        <f>C83-E64</f>
        <v>0</v>
      </c>
      <c r="F83" s="61">
        <f>E83-F64</f>
        <v>0</v>
      </c>
      <c r="G83" s="61">
        <f t="shared" ref="G83:N83" si="29">F83-G64</f>
        <v>0</v>
      </c>
      <c r="H83" s="61">
        <f t="shared" si="29"/>
        <v>471.31510168522505</v>
      </c>
      <c r="I83" s="61">
        <f t="shared" si="29"/>
        <v>471.31510168522505</v>
      </c>
      <c r="J83" s="61">
        <f t="shared" si="29"/>
        <v>471.31510168522505</v>
      </c>
      <c r="K83" s="61">
        <f t="shared" si="29"/>
        <v>471.31510168522505</v>
      </c>
      <c r="L83" s="61">
        <f t="shared" si="29"/>
        <v>471.31510168522505</v>
      </c>
      <c r="M83" s="61">
        <f t="shared" si="29"/>
        <v>471.31510168522505</v>
      </c>
      <c r="N83" s="61">
        <f t="shared" si="29"/>
        <v>471.31510168522505</v>
      </c>
    </row>
    <row r="84" spans="1:15" ht="11" thickBot="1">
      <c r="A84" s="108" t="s">
        <v>279</v>
      </c>
      <c r="C84" s="12">
        <f>SUM(C80:C83)</f>
        <v>26162</v>
      </c>
      <c r="E84" s="12">
        <f t="shared" ref="E84:N84" si="30">SUM(E80:E83)</f>
        <v>27788.057000000001</v>
      </c>
      <c r="F84" s="12">
        <f t="shared" si="30"/>
        <v>30846.069584000001</v>
      </c>
      <c r="G84" s="12">
        <f t="shared" si="30"/>
        <v>31197.069584000001</v>
      </c>
      <c r="H84" s="12">
        <f t="shared" si="30"/>
        <v>34380.342109851626</v>
      </c>
      <c r="I84" s="12">
        <f t="shared" si="30"/>
        <v>37799.342109851626</v>
      </c>
      <c r="J84" s="12">
        <f t="shared" si="30"/>
        <v>42503.088762931628</v>
      </c>
      <c r="K84" s="12">
        <f t="shared" si="30"/>
        <v>45572.884061437122</v>
      </c>
      <c r="L84" s="12">
        <f t="shared" si="30"/>
        <v>49126.66257855959</v>
      </c>
      <c r="M84" s="12">
        <f t="shared" si="30"/>
        <v>51318.740431621576</v>
      </c>
      <c r="N84" s="12">
        <f t="shared" si="30"/>
        <v>55282.766748716283</v>
      </c>
    </row>
    <row r="85" spans="1:15" ht="5.25" customHeight="1" thickBot="1">
      <c r="A85" s="5"/>
      <c r="C85" s="60"/>
      <c r="E85" s="60"/>
      <c r="F85" s="60"/>
      <c r="G85" s="60"/>
      <c r="H85" s="60"/>
      <c r="I85" s="60"/>
      <c r="J85" s="60"/>
      <c r="K85" s="60"/>
      <c r="L85" s="60"/>
      <c r="M85" s="60"/>
      <c r="N85" s="60"/>
    </row>
    <row r="86" spans="1:15" ht="11" thickBot="1">
      <c r="A86" s="106" t="s">
        <v>280</v>
      </c>
      <c r="C86" s="4"/>
      <c r="E86" s="4"/>
      <c r="F86" s="4"/>
      <c r="G86" s="4"/>
      <c r="H86" s="4"/>
      <c r="I86" s="4"/>
      <c r="J86" s="4"/>
      <c r="K86" s="4"/>
      <c r="L86" s="4"/>
      <c r="M86" s="4"/>
      <c r="N86" s="4"/>
      <c r="O86" s="105"/>
    </row>
    <row r="87" spans="1:15" ht="11" thickBot="1">
      <c r="A87" s="5" t="s">
        <v>281</v>
      </c>
      <c r="C87" s="61"/>
      <c r="E87" s="61"/>
      <c r="F87" s="61"/>
      <c r="G87" s="61"/>
      <c r="H87" s="61"/>
      <c r="I87" s="61"/>
      <c r="J87" s="61"/>
      <c r="K87" s="61"/>
      <c r="L87" s="61"/>
      <c r="M87" s="61"/>
      <c r="N87" s="61"/>
    </row>
    <row r="88" spans="1:15" ht="11" thickBot="1">
      <c r="A88" s="5" t="s">
        <v>282</v>
      </c>
      <c r="C88" s="61"/>
      <c r="E88" s="61"/>
      <c r="F88" s="61"/>
      <c r="G88" s="61"/>
      <c r="H88" s="61"/>
      <c r="I88" s="61"/>
      <c r="J88" s="61"/>
      <c r="K88" s="61"/>
      <c r="L88" s="61"/>
      <c r="M88" s="61"/>
      <c r="N88" s="61"/>
    </row>
    <row r="89" spans="1:15" ht="11" thickBot="1">
      <c r="A89" s="5" t="s">
        <v>283</v>
      </c>
      <c r="C89" s="61">
        <f>Input!$C$10-C$87</f>
        <v>4978</v>
      </c>
      <c r="E89" s="61">
        <f>$C$89+E69+E70</f>
        <v>7111</v>
      </c>
      <c r="F89" s="61">
        <f t="shared" ref="F89:N89" si="31">E$89+F69+F70</f>
        <v>8499</v>
      </c>
      <c r="G89" s="61">
        <f t="shared" si="31"/>
        <v>8389</v>
      </c>
      <c r="H89" s="61">
        <f t="shared" si="31"/>
        <v>10107.351242993682</v>
      </c>
      <c r="I89" s="61">
        <f t="shared" si="31"/>
        <v>13472.303323891638</v>
      </c>
      <c r="J89" s="61">
        <f t="shared" si="31"/>
        <v>16108.547638711669</v>
      </c>
      <c r="K89" s="61">
        <f t="shared" si="31"/>
        <v>18792.886928425807</v>
      </c>
      <c r="L89" s="61">
        <f t="shared" si="31"/>
        <v>19868.836914004525</v>
      </c>
      <c r="M89" s="61">
        <f t="shared" si="31"/>
        <v>21649.666071092841</v>
      </c>
      <c r="N89" s="61">
        <f t="shared" si="31"/>
        <v>22631.949680497659</v>
      </c>
    </row>
    <row r="90" spans="1:15" ht="11" thickBot="1">
      <c r="A90" s="5" t="s">
        <v>284</v>
      </c>
      <c r="C90" s="61"/>
      <c r="E90" s="61"/>
      <c r="F90" s="61"/>
      <c r="G90" s="61"/>
      <c r="H90" s="61"/>
      <c r="I90" s="61"/>
      <c r="J90" s="61"/>
      <c r="K90" s="61"/>
      <c r="L90" s="61"/>
      <c r="M90" s="61"/>
      <c r="N90" s="61"/>
    </row>
    <row r="91" spans="1:15" ht="11" thickBot="1">
      <c r="A91" s="108" t="s">
        <v>285</v>
      </c>
      <c r="C91" s="12">
        <f>SUM(C87:C90)</f>
        <v>4978</v>
      </c>
      <c r="E91" s="12">
        <f t="shared" ref="E91:N91" si="32">SUM(E87:E90)</f>
        <v>7111</v>
      </c>
      <c r="F91" s="12">
        <f t="shared" si="32"/>
        <v>8499</v>
      </c>
      <c r="G91" s="12">
        <f t="shared" si="32"/>
        <v>8389</v>
      </c>
      <c r="H91" s="12">
        <f t="shared" si="32"/>
        <v>10107.351242993682</v>
      </c>
      <c r="I91" s="12">
        <f t="shared" si="32"/>
        <v>13472.303323891638</v>
      </c>
      <c r="J91" s="12">
        <f t="shared" si="32"/>
        <v>16108.547638711669</v>
      </c>
      <c r="K91" s="12">
        <f t="shared" si="32"/>
        <v>18792.886928425807</v>
      </c>
      <c r="L91" s="12">
        <f t="shared" si="32"/>
        <v>19868.836914004525</v>
      </c>
      <c r="M91" s="12">
        <f t="shared" si="32"/>
        <v>21649.666071092841</v>
      </c>
      <c r="N91" s="12">
        <f t="shared" si="32"/>
        <v>22631.949680497659</v>
      </c>
    </row>
    <row r="92" spans="1:15" ht="5.25" customHeight="1" thickBot="1">
      <c r="A92" s="5"/>
      <c r="C92" s="61"/>
      <c r="E92" s="61"/>
      <c r="F92" s="60"/>
      <c r="G92" s="60"/>
      <c r="H92" s="60"/>
      <c r="I92" s="60"/>
      <c r="J92" s="60"/>
      <c r="K92" s="60"/>
      <c r="L92" s="60"/>
      <c r="M92" s="60"/>
      <c r="N92" s="60"/>
    </row>
    <row r="93" spans="1:15" ht="11" thickBot="1">
      <c r="A93" s="108" t="s">
        <v>286</v>
      </c>
      <c r="C93" s="12">
        <f>C84-C91</f>
        <v>21184</v>
      </c>
      <c r="E93" s="12">
        <f t="shared" ref="E93:N93" si="33">E84-E91</f>
        <v>20677.057000000001</v>
      </c>
      <c r="F93" s="12">
        <f t="shared" si="33"/>
        <v>22347.069584000001</v>
      </c>
      <c r="G93" s="12">
        <f t="shared" si="33"/>
        <v>22808.069584000001</v>
      </c>
      <c r="H93" s="12">
        <f t="shared" si="33"/>
        <v>24272.990866857945</v>
      </c>
      <c r="I93" s="12">
        <f t="shared" si="33"/>
        <v>24327.038785959987</v>
      </c>
      <c r="J93" s="12">
        <f t="shared" si="33"/>
        <v>26394.541124219959</v>
      </c>
      <c r="K93" s="12">
        <f t="shared" si="33"/>
        <v>26779.997133011315</v>
      </c>
      <c r="L93" s="12">
        <f t="shared" si="33"/>
        <v>29257.825664555065</v>
      </c>
      <c r="M93" s="12">
        <f t="shared" si="33"/>
        <v>29669.074360528735</v>
      </c>
      <c r="N93" s="12">
        <f t="shared" si="33"/>
        <v>32650.817068218625</v>
      </c>
    </row>
    <row r="94" spans="1:15" ht="5.25" customHeight="1" thickBot="1">
      <c r="A94" s="5"/>
      <c r="C94" s="60"/>
      <c r="E94" s="60"/>
      <c r="F94" s="60"/>
      <c r="G94" s="60"/>
      <c r="H94" s="60"/>
      <c r="I94" s="60"/>
      <c r="J94" s="60"/>
      <c r="K94" s="60"/>
      <c r="L94" s="60"/>
      <c r="M94" s="60"/>
      <c r="N94" s="60"/>
    </row>
    <row r="95" spans="1:15" ht="11" thickBot="1">
      <c r="A95" s="106" t="s">
        <v>287</v>
      </c>
      <c r="C95" s="4"/>
      <c r="E95" s="4"/>
      <c r="F95" s="4"/>
      <c r="G95" s="4"/>
      <c r="H95" s="4"/>
      <c r="I95" s="4"/>
      <c r="J95" s="4"/>
      <c r="K95" s="4"/>
      <c r="L95" s="4"/>
      <c r="M95" s="4"/>
      <c r="N95" s="4"/>
      <c r="O95" s="105"/>
    </row>
    <row r="96" spans="1:15" ht="11" thickBot="1">
      <c r="A96" s="5" t="s">
        <v>288</v>
      </c>
      <c r="C96" s="61">
        <f>Input!$C$12</f>
        <v>0</v>
      </c>
      <c r="E96" s="61">
        <f>$C$96+E$52</f>
        <v>0</v>
      </c>
      <c r="F96" s="61">
        <f t="shared" ref="F96:N96" si="34">E$96+F$52</f>
        <v>1402.0125839999998</v>
      </c>
      <c r="G96" s="61">
        <f t="shared" si="34"/>
        <v>1402.0125839999998</v>
      </c>
      <c r="H96" s="61">
        <f t="shared" si="34"/>
        <v>2944.9700081663959</v>
      </c>
      <c r="I96" s="61">
        <f t="shared" si="34"/>
        <v>2944.9700081663959</v>
      </c>
      <c r="J96" s="61">
        <f t="shared" si="34"/>
        <v>4792.022920571444</v>
      </c>
      <c r="K96" s="61">
        <f t="shared" si="34"/>
        <v>4792.022920571444</v>
      </c>
      <c r="L96" s="61">
        <f t="shared" si="34"/>
        <v>6978.5507015283492</v>
      </c>
      <c r="M96" s="61">
        <f t="shared" si="34"/>
        <v>6978.5507015283492</v>
      </c>
      <c r="N96" s="61">
        <f t="shared" si="34"/>
        <v>9444.1892015233352</v>
      </c>
    </row>
    <row r="97" spans="1:14" ht="11" thickBot="1">
      <c r="A97" s="5" t="s">
        <v>289</v>
      </c>
      <c r="C97" s="61">
        <f>$C$93-$C$96</f>
        <v>21184</v>
      </c>
      <c r="E97" s="61">
        <f>$C$97+E$50</f>
        <v>20677.057000000001</v>
      </c>
      <c r="F97" s="61">
        <f t="shared" ref="F97:N97" si="35">E$97+F$50</f>
        <v>20945.057000000001</v>
      </c>
      <c r="G97" s="61">
        <f t="shared" si="35"/>
        <v>21406.057000000001</v>
      </c>
      <c r="H97" s="61">
        <f t="shared" si="35"/>
        <v>21328.020858691543</v>
      </c>
      <c r="I97" s="61">
        <f t="shared" si="35"/>
        <v>21382.068777793589</v>
      </c>
      <c r="J97" s="61">
        <f t="shared" si="35"/>
        <v>21602.518203648513</v>
      </c>
      <c r="K97" s="61">
        <f t="shared" si="35"/>
        <v>21987.974212439869</v>
      </c>
      <c r="L97" s="61">
        <f t="shared" si="35"/>
        <v>22279.27496302671</v>
      </c>
      <c r="M97" s="61">
        <f t="shared" si="35"/>
        <v>22690.523659000384</v>
      </c>
      <c r="N97" s="61">
        <f t="shared" si="35"/>
        <v>23206.627866695282</v>
      </c>
    </row>
    <row r="98" spans="1:14" ht="11" thickBot="1">
      <c r="A98" s="108" t="s">
        <v>290</v>
      </c>
      <c r="C98" s="12">
        <f>SUM(C96:C97)</f>
        <v>21184</v>
      </c>
      <c r="E98" s="12">
        <f t="shared" ref="E98:N98" si="36">SUM(E96:E97)</f>
        <v>20677.057000000001</v>
      </c>
      <c r="F98" s="12">
        <f t="shared" si="36"/>
        <v>22347.069584000001</v>
      </c>
      <c r="G98" s="12">
        <f t="shared" si="36"/>
        <v>22808.069584000001</v>
      </c>
      <c r="H98" s="12">
        <f t="shared" si="36"/>
        <v>24272.990866857937</v>
      </c>
      <c r="I98" s="12">
        <f t="shared" si="36"/>
        <v>24327.038785959987</v>
      </c>
      <c r="J98" s="12">
        <f t="shared" si="36"/>
        <v>26394.541124219955</v>
      </c>
      <c r="K98" s="12">
        <f t="shared" si="36"/>
        <v>26779.997133011311</v>
      </c>
      <c r="L98" s="12">
        <f t="shared" si="36"/>
        <v>29257.825664555057</v>
      </c>
      <c r="M98" s="12">
        <f t="shared" si="36"/>
        <v>29669.074360528735</v>
      </c>
      <c r="N98" s="12">
        <f t="shared" si="36"/>
        <v>32650.817068218617</v>
      </c>
    </row>
  </sheetData>
  <pageMargins left="0.7" right="0.7" top="0.75" bottom="0.75" header="0.3" footer="0.3"/>
  <pageSetup paperSize="8" scale="8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EA0BE-763B-49C6-B841-F4A069309E2D}">
  <sheetPr codeName="Sheet31">
    <pageSetUpPr fitToPage="1"/>
  </sheetPr>
  <dimension ref="A1:Q98"/>
  <sheetViews>
    <sheetView topLeftCell="A96" workbookViewId="0">
      <selection activeCell="A100" sqref="A100:XFD121"/>
    </sheetView>
  </sheetViews>
  <sheetFormatPr defaultColWidth="6.6328125" defaultRowHeight="10.5"/>
  <cols>
    <col min="1" max="1" width="67.6328125" style="1" customWidth="1"/>
    <col min="2" max="2" width="1.54296875" style="1" customWidth="1"/>
    <col min="3" max="3" width="12.7265625" style="1" customWidth="1"/>
    <col min="4" max="4" width="1.90625" style="1" customWidth="1"/>
    <col min="5" max="14" width="12.7265625" style="1" customWidth="1"/>
    <col min="15" max="16" width="9.54296875" style="1" customWidth="1"/>
    <col min="17" max="17" width="8.08984375" style="1" customWidth="1"/>
    <col min="18" max="19" width="9.54296875" style="1" customWidth="1"/>
    <col min="20" max="16384" width="6.6328125" style="1"/>
  </cols>
  <sheetData>
    <row r="1" spans="1:17" ht="11" thickBot="1">
      <c r="A1" s="104" t="s">
        <v>220</v>
      </c>
      <c r="B1" s="91"/>
      <c r="C1" s="91" t="s">
        <v>29</v>
      </c>
      <c r="D1" s="91"/>
      <c r="E1" s="91" t="s">
        <v>19</v>
      </c>
      <c r="F1" s="91" t="s">
        <v>20</v>
      </c>
      <c r="G1" s="91" t="s">
        <v>21</v>
      </c>
      <c r="H1" s="91" t="s">
        <v>22</v>
      </c>
      <c r="I1" s="91" t="s">
        <v>23</v>
      </c>
      <c r="J1" s="91" t="s">
        <v>24</v>
      </c>
      <c r="K1" s="91" t="s">
        <v>25</v>
      </c>
      <c r="L1" s="91" t="s">
        <v>26</v>
      </c>
      <c r="M1" s="91" t="s">
        <v>27</v>
      </c>
      <c r="N1" s="91" t="s">
        <v>28</v>
      </c>
      <c r="O1" s="105"/>
      <c r="P1" s="91" t="s">
        <v>159</v>
      </c>
    </row>
    <row r="2" spans="1:17" ht="11" thickBot="1">
      <c r="A2" s="106" t="s">
        <v>221</v>
      </c>
      <c r="C2" s="4"/>
      <c r="E2" s="4"/>
      <c r="F2" s="4"/>
      <c r="G2" s="4"/>
      <c r="H2" s="4"/>
      <c r="I2" s="4"/>
      <c r="J2" s="4"/>
      <c r="K2" s="4"/>
      <c r="L2" s="4"/>
      <c r="M2" s="4"/>
      <c r="N2" s="4"/>
      <c r="O2" s="105"/>
      <c r="P2" s="4"/>
    </row>
    <row r="3" spans="1:17" ht="11" thickBot="1">
      <c r="A3" s="5" t="s">
        <v>222</v>
      </c>
      <c r="C3" s="112">
        <v>301</v>
      </c>
      <c r="E3" s="112">
        <v>161</v>
      </c>
      <c r="F3" s="112">
        <v>197</v>
      </c>
      <c r="G3" s="112">
        <v>223</v>
      </c>
      <c r="H3" s="112">
        <v>233</v>
      </c>
      <c r="I3" s="112">
        <v>247</v>
      </c>
      <c r="J3" s="112">
        <v>258</v>
      </c>
      <c r="K3" s="112">
        <v>266</v>
      </c>
      <c r="L3" s="112">
        <v>272</v>
      </c>
      <c r="M3" s="112">
        <v>277</v>
      </c>
      <c r="N3" s="112">
        <v>287</v>
      </c>
      <c r="P3" s="107">
        <f>SUM(E3:N3)</f>
        <v>2421</v>
      </c>
    </row>
    <row r="4" spans="1:17" ht="11" thickBot="1">
      <c r="A4" s="5" t="s">
        <v>223</v>
      </c>
      <c r="C4" s="112">
        <v>2710</v>
      </c>
      <c r="E4" s="112">
        <v>3231</v>
      </c>
      <c r="F4" s="112">
        <v>3918</v>
      </c>
      <c r="G4" s="112">
        <v>4418</v>
      </c>
      <c r="H4" s="112">
        <v>5287.2842770869456</v>
      </c>
      <c r="I4" s="112">
        <v>5513.0783349209114</v>
      </c>
      <c r="J4" s="112">
        <v>5874.6076929023075</v>
      </c>
      <c r="K4" s="112">
        <v>6054.8400607481462</v>
      </c>
      <c r="L4" s="112">
        <v>6104.0859209413857</v>
      </c>
      <c r="M4" s="112">
        <v>6158.8895264071925</v>
      </c>
      <c r="N4" s="112">
        <v>6175.530598358062</v>
      </c>
      <c r="P4" s="107">
        <f>SUM(E4:N4)</f>
        <v>52735.316411364947</v>
      </c>
    </row>
    <row r="5" spans="1:17" ht="11" thickBot="1">
      <c r="A5" s="5" t="s">
        <v>224</v>
      </c>
      <c r="C5" s="112">
        <v>0</v>
      </c>
      <c r="E5" s="112">
        <v>90</v>
      </c>
      <c r="F5" s="112">
        <v>0</v>
      </c>
      <c r="G5" s="112">
        <v>0</v>
      </c>
      <c r="H5" s="112">
        <v>0</v>
      </c>
      <c r="I5" s="112">
        <v>0</v>
      </c>
      <c r="J5" s="112">
        <v>0</v>
      </c>
      <c r="K5" s="112">
        <v>0</v>
      </c>
      <c r="L5" s="112">
        <v>0</v>
      </c>
      <c r="M5" s="112">
        <v>0</v>
      </c>
      <c r="N5" s="112">
        <v>0</v>
      </c>
      <c r="P5" s="107">
        <f>SUM(E5:N5)</f>
        <v>90</v>
      </c>
    </row>
    <row r="6" spans="1:17" ht="11" thickBot="1">
      <c r="A6" s="5" t="s">
        <v>225</v>
      </c>
      <c r="C6" s="112">
        <v>23</v>
      </c>
      <c r="E6" s="112">
        <v>0</v>
      </c>
      <c r="F6" s="112">
        <v>0</v>
      </c>
      <c r="G6" s="112">
        <v>0</v>
      </c>
      <c r="H6" s="112">
        <v>0</v>
      </c>
      <c r="I6" s="112">
        <v>0</v>
      </c>
      <c r="J6" s="112">
        <v>0</v>
      </c>
      <c r="K6" s="112">
        <v>0</v>
      </c>
      <c r="L6" s="112">
        <v>0</v>
      </c>
      <c r="M6" s="112">
        <v>0</v>
      </c>
      <c r="N6" s="112">
        <v>0</v>
      </c>
      <c r="P6" s="107">
        <f>SUM(E6:N6)</f>
        <v>0</v>
      </c>
    </row>
    <row r="7" spans="1:17" ht="11" thickBot="1">
      <c r="A7" s="5" t="s">
        <v>226</v>
      </c>
      <c r="C7" s="112">
        <v>444</v>
      </c>
      <c r="E7" s="112">
        <v>558</v>
      </c>
      <c r="F7" s="112">
        <v>576</v>
      </c>
      <c r="G7" s="112">
        <v>595</v>
      </c>
      <c r="H7" s="112">
        <v>612</v>
      </c>
      <c r="I7" s="112">
        <v>629</v>
      </c>
      <c r="J7" s="112">
        <v>645</v>
      </c>
      <c r="K7" s="112">
        <v>662</v>
      </c>
      <c r="L7" s="112">
        <v>678</v>
      </c>
      <c r="M7" s="112">
        <v>695</v>
      </c>
      <c r="N7" s="112">
        <v>710</v>
      </c>
      <c r="P7" s="107">
        <f>SUM(E7:N7)</f>
        <v>6360</v>
      </c>
    </row>
    <row r="8" spans="1:17" ht="11" thickBot="1">
      <c r="A8" s="108" t="s">
        <v>227</v>
      </c>
      <c r="C8" s="12">
        <f>SUM(C3:C7)</f>
        <v>3478</v>
      </c>
      <c r="E8" s="12">
        <f t="shared" ref="E8:N8" si="0">SUM(E3:E7)</f>
        <v>4040</v>
      </c>
      <c r="F8" s="12">
        <f t="shared" si="0"/>
        <v>4691</v>
      </c>
      <c r="G8" s="12">
        <f t="shared" si="0"/>
        <v>5236</v>
      </c>
      <c r="H8" s="12">
        <f t="shared" si="0"/>
        <v>6132.2842770869456</v>
      </c>
      <c r="I8" s="12">
        <f t="shared" si="0"/>
        <v>6389.0783349209114</v>
      </c>
      <c r="J8" s="12">
        <f t="shared" si="0"/>
        <v>6777.6076929023075</v>
      </c>
      <c r="K8" s="12">
        <f t="shared" si="0"/>
        <v>6982.8400607481462</v>
      </c>
      <c r="L8" s="12">
        <f t="shared" si="0"/>
        <v>7054.0859209413857</v>
      </c>
      <c r="M8" s="12">
        <f t="shared" si="0"/>
        <v>7130.8895264071925</v>
      </c>
      <c r="N8" s="12">
        <f t="shared" si="0"/>
        <v>7172.530598358062</v>
      </c>
      <c r="P8" s="12">
        <f>SUM(P3:P7)</f>
        <v>61606.316411364947</v>
      </c>
    </row>
    <row r="9" spans="1:17" ht="5.25" customHeight="1" thickBot="1">
      <c r="A9" s="76"/>
      <c r="E9" s="109"/>
      <c r="F9" s="109"/>
      <c r="G9" s="109"/>
      <c r="H9" s="109"/>
      <c r="I9" s="109"/>
      <c r="J9" s="109"/>
      <c r="K9" s="109"/>
      <c r="L9" s="109"/>
      <c r="M9" s="109"/>
      <c r="N9" s="109"/>
    </row>
    <row r="10" spans="1:17" ht="11" thickBot="1">
      <c r="A10" s="106" t="s">
        <v>228</v>
      </c>
      <c r="C10" s="4"/>
      <c r="E10" s="4"/>
      <c r="F10" s="4"/>
      <c r="G10" s="4"/>
      <c r="H10" s="4"/>
      <c r="I10" s="4"/>
      <c r="J10" s="4"/>
      <c r="K10" s="4"/>
      <c r="L10" s="4"/>
      <c r="M10" s="4"/>
      <c r="N10" s="4"/>
      <c r="O10" s="105"/>
      <c r="P10" s="4"/>
    </row>
    <row r="11" spans="1:17" ht="11" thickBot="1">
      <c r="A11" s="5" t="s">
        <v>229</v>
      </c>
      <c r="C11" s="112">
        <v>1035</v>
      </c>
      <c r="E11" s="112">
        <v>1116</v>
      </c>
      <c r="F11" s="112">
        <v>1193</v>
      </c>
      <c r="G11" s="112">
        <v>1205</v>
      </c>
      <c r="H11" s="112">
        <v>1314.7025576714527</v>
      </c>
      <c r="I11" s="112">
        <v>1351.170121613239</v>
      </c>
      <c r="J11" s="112">
        <v>1418.7895523531652</v>
      </c>
      <c r="K11" s="112">
        <v>1452.3820674276285</v>
      </c>
      <c r="L11" s="112">
        <v>1445.2070685389483</v>
      </c>
      <c r="M11" s="112">
        <v>1472.4692662123571</v>
      </c>
      <c r="N11" s="112">
        <v>1499.5223347945696</v>
      </c>
      <c r="P11" s="107">
        <f>SUM(E11:N11)</f>
        <v>13468.242968611359</v>
      </c>
    </row>
    <row r="12" spans="1:17" ht="11" thickBot="1">
      <c r="A12" s="5" t="s">
        <v>230</v>
      </c>
      <c r="C12" s="112">
        <v>683</v>
      </c>
      <c r="E12" s="112">
        <v>697</v>
      </c>
      <c r="F12" s="112">
        <v>767</v>
      </c>
      <c r="G12" s="112">
        <v>895</v>
      </c>
      <c r="H12" s="112">
        <v>1287.8698436153386</v>
      </c>
      <c r="I12" s="112">
        <v>1406.8527277509315</v>
      </c>
      <c r="J12" s="112">
        <v>1478.0402730533228</v>
      </c>
      <c r="K12" s="112">
        <v>1551.6357961285548</v>
      </c>
      <c r="L12" s="112">
        <v>1616.8077023356223</v>
      </c>
      <c r="M12" s="112">
        <v>1661.3201574266</v>
      </c>
      <c r="N12" s="112">
        <v>1690.4557792818505</v>
      </c>
      <c r="P12" s="107">
        <f>SUM(E12:N12)</f>
        <v>13051.982279592221</v>
      </c>
    </row>
    <row r="13" spans="1:17" ht="11" thickBot="1">
      <c r="A13" s="5" t="s">
        <v>231</v>
      </c>
      <c r="C13" s="112">
        <v>1237</v>
      </c>
      <c r="E13" s="112">
        <v>833</v>
      </c>
      <c r="F13" s="112">
        <v>865</v>
      </c>
      <c r="G13" s="112">
        <v>902</v>
      </c>
      <c r="H13" s="112">
        <v>900</v>
      </c>
      <c r="I13" s="112">
        <v>928</v>
      </c>
      <c r="J13" s="112">
        <v>959</v>
      </c>
      <c r="K13" s="112">
        <v>968</v>
      </c>
      <c r="L13" s="112">
        <v>990</v>
      </c>
      <c r="M13" s="112">
        <v>1021</v>
      </c>
      <c r="N13" s="112">
        <v>1034</v>
      </c>
      <c r="P13" s="107">
        <f>SUM(E13:N13)</f>
        <v>9400</v>
      </c>
    </row>
    <row r="14" spans="1:17" ht="11" thickBot="1">
      <c r="A14" s="5" t="s">
        <v>232</v>
      </c>
      <c r="C14" s="112">
        <v>37</v>
      </c>
      <c r="E14" s="112">
        <v>0</v>
      </c>
      <c r="F14" s="112">
        <v>0</v>
      </c>
      <c r="G14" s="112">
        <v>0</v>
      </c>
      <c r="H14" s="112">
        <v>0</v>
      </c>
      <c r="I14" s="112">
        <v>0</v>
      </c>
      <c r="J14" s="112">
        <v>0</v>
      </c>
      <c r="K14" s="112">
        <v>0</v>
      </c>
      <c r="L14" s="112">
        <v>0</v>
      </c>
      <c r="M14" s="112">
        <v>0</v>
      </c>
      <c r="N14" s="112">
        <v>0</v>
      </c>
      <c r="P14" s="107">
        <f>SUM(E14:N14)</f>
        <v>0</v>
      </c>
    </row>
    <row r="15" spans="1:17" ht="11" thickBot="1">
      <c r="A15" s="108" t="s">
        <v>233</v>
      </c>
      <c r="C15" s="12">
        <f>SUM(C11:C14)</f>
        <v>2992</v>
      </c>
      <c r="E15" s="12">
        <f t="shared" ref="E15:N15" si="1">SUM(E11:E14)</f>
        <v>2646</v>
      </c>
      <c r="F15" s="12">
        <f t="shared" si="1"/>
        <v>2825</v>
      </c>
      <c r="G15" s="12">
        <f t="shared" si="1"/>
        <v>3002</v>
      </c>
      <c r="H15" s="12">
        <f t="shared" si="1"/>
        <v>3502.5724012867913</v>
      </c>
      <c r="I15" s="12">
        <f t="shared" si="1"/>
        <v>3686.0228493641707</v>
      </c>
      <c r="J15" s="12">
        <f t="shared" si="1"/>
        <v>3855.829825406488</v>
      </c>
      <c r="K15" s="12">
        <f t="shared" si="1"/>
        <v>3972.0178635561833</v>
      </c>
      <c r="L15" s="12">
        <f t="shared" si="1"/>
        <v>4052.0147708745708</v>
      </c>
      <c r="M15" s="12">
        <f t="shared" si="1"/>
        <v>4154.7894236389566</v>
      </c>
      <c r="N15" s="12">
        <f t="shared" si="1"/>
        <v>4223.9781140764198</v>
      </c>
      <c r="P15" s="12">
        <f>SUM(P11:P14)</f>
        <v>35920.225248203584</v>
      </c>
      <c r="Q15" s="77"/>
    </row>
    <row r="16" spans="1:17" ht="5.25" customHeight="1" thickBot="1">
      <c r="A16" s="110"/>
    </row>
    <row r="17" spans="1:16" ht="11" thickBot="1">
      <c r="A17" s="108" t="s">
        <v>234</v>
      </c>
      <c r="C17" s="12">
        <f>C8-C15</f>
        <v>486</v>
      </c>
      <c r="E17" s="12">
        <f t="shared" ref="E17:N17" si="2">E8-E15</f>
        <v>1394</v>
      </c>
      <c r="F17" s="12">
        <f t="shared" si="2"/>
        <v>1866</v>
      </c>
      <c r="G17" s="12">
        <f t="shared" si="2"/>
        <v>2234</v>
      </c>
      <c r="H17" s="12">
        <f t="shared" si="2"/>
        <v>2629.7118758001543</v>
      </c>
      <c r="I17" s="12">
        <f t="shared" si="2"/>
        <v>2703.0554855567407</v>
      </c>
      <c r="J17" s="12">
        <f t="shared" si="2"/>
        <v>2921.7778674958195</v>
      </c>
      <c r="K17" s="12">
        <f t="shared" si="2"/>
        <v>3010.8221971919629</v>
      </c>
      <c r="L17" s="12">
        <f t="shared" si="2"/>
        <v>3002.0711500668149</v>
      </c>
      <c r="M17" s="12">
        <f t="shared" si="2"/>
        <v>2976.100102768236</v>
      </c>
      <c r="N17" s="12">
        <f t="shared" si="2"/>
        <v>2948.5524842816421</v>
      </c>
      <c r="P17" s="12">
        <f>P8-P15</f>
        <v>25686.091163161364</v>
      </c>
    </row>
    <row r="18" spans="1:16" ht="5.25" customHeight="1" thickBot="1">
      <c r="A18" s="76"/>
    </row>
    <row r="19" spans="1:16" ht="11" thickBot="1">
      <c r="A19" s="106" t="s">
        <v>235</v>
      </c>
      <c r="C19" s="4"/>
      <c r="E19" s="4"/>
      <c r="F19" s="4"/>
      <c r="G19" s="4"/>
      <c r="H19" s="4"/>
      <c r="I19" s="4"/>
      <c r="J19" s="4"/>
      <c r="K19" s="4"/>
      <c r="L19" s="4"/>
      <c r="M19" s="4"/>
      <c r="N19" s="4"/>
      <c r="O19" s="105"/>
      <c r="P19" s="4"/>
    </row>
    <row r="20" spans="1:16" ht="11" thickBot="1">
      <c r="A20" s="5" t="s">
        <v>236</v>
      </c>
      <c r="C20" s="112">
        <v>0</v>
      </c>
      <c r="E20" s="112">
        <v>500</v>
      </c>
      <c r="F20" s="112">
        <v>0</v>
      </c>
      <c r="G20" s="112">
        <v>0</v>
      </c>
      <c r="H20" s="112">
        <v>0</v>
      </c>
      <c r="I20" s="112">
        <v>0</v>
      </c>
      <c r="J20" s="112">
        <v>0</v>
      </c>
      <c r="K20" s="112">
        <v>0</v>
      </c>
      <c r="L20" s="112">
        <v>0</v>
      </c>
      <c r="M20" s="112">
        <v>0</v>
      </c>
      <c r="N20" s="112">
        <v>0</v>
      </c>
      <c r="P20" s="107">
        <f>SUM(E20:N20)</f>
        <v>500</v>
      </c>
    </row>
    <row r="21" spans="1:16" ht="11" thickBot="1">
      <c r="A21" s="5" t="s">
        <v>237</v>
      </c>
      <c r="C21" s="112">
        <v>40</v>
      </c>
      <c r="E21" s="112">
        <v>97</v>
      </c>
      <c r="F21" s="112">
        <v>99</v>
      </c>
      <c r="G21" s="112">
        <v>101</v>
      </c>
      <c r="H21" s="112">
        <v>102</v>
      </c>
      <c r="I21" s="112">
        <v>103</v>
      </c>
      <c r="J21" s="112">
        <v>103</v>
      </c>
      <c r="K21" s="112">
        <v>104</v>
      </c>
      <c r="L21" s="112">
        <v>104</v>
      </c>
      <c r="M21" s="112">
        <v>105</v>
      </c>
      <c r="N21" s="112">
        <v>105</v>
      </c>
      <c r="P21" s="107">
        <f>SUM(E21:N21)</f>
        <v>1023</v>
      </c>
    </row>
    <row r="22" spans="1:16" ht="11" thickBot="1">
      <c r="A22" s="5" t="s">
        <v>238</v>
      </c>
      <c r="C22" s="112">
        <v>4775</v>
      </c>
      <c r="E22" s="112">
        <v>711</v>
      </c>
      <c r="F22" s="112">
        <v>2160</v>
      </c>
      <c r="G22" s="112">
        <v>2775</v>
      </c>
      <c r="H22" s="112">
        <v>2542.1611742120967</v>
      </c>
      <c r="I22" s="112">
        <v>619.94451444325898</v>
      </c>
      <c r="J22" s="112">
        <v>481.64838709269441</v>
      </c>
      <c r="K22" s="112">
        <v>1346.4244008834266</v>
      </c>
      <c r="L22" s="112">
        <v>310.4595070976892</v>
      </c>
      <c r="M22" s="112">
        <v>-510.67530111088001</v>
      </c>
      <c r="N22" s="112">
        <v>-1844.2639040810643</v>
      </c>
      <c r="P22" s="107">
        <f>SUM(E22:N22)</f>
        <v>8591.6987785372221</v>
      </c>
    </row>
    <row r="23" spans="1:16" ht="11" thickBot="1">
      <c r="A23" s="5" t="s">
        <v>239</v>
      </c>
      <c r="C23" s="112">
        <v>0</v>
      </c>
      <c r="E23" s="112">
        <v>0</v>
      </c>
      <c r="F23" s="112">
        <v>0</v>
      </c>
      <c r="G23" s="112">
        <v>0</v>
      </c>
      <c r="H23" s="112">
        <v>0</v>
      </c>
      <c r="I23" s="112">
        <v>0</v>
      </c>
      <c r="J23" s="112">
        <v>0</v>
      </c>
      <c r="K23" s="112">
        <v>0</v>
      </c>
      <c r="L23" s="112">
        <v>0</v>
      </c>
      <c r="M23" s="112">
        <v>0</v>
      </c>
      <c r="N23" s="112">
        <v>0</v>
      </c>
      <c r="P23" s="107">
        <f>SUM(E23:N23)</f>
        <v>0</v>
      </c>
    </row>
    <row r="24" spans="1:16" ht="11" thickBot="1">
      <c r="A24" s="5" t="s">
        <v>240</v>
      </c>
      <c r="C24" s="112">
        <v>0</v>
      </c>
      <c r="E24" s="112">
        <v>0</v>
      </c>
      <c r="F24" s="112">
        <v>0</v>
      </c>
      <c r="G24" s="112">
        <v>0</v>
      </c>
      <c r="H24" s="112">
        <v>0</v>
      </c>
      <c r="I24" s="112">
        <v>0</v>
      </c>
      <c r="J24" s="112">
        <v>0</v>
      </c>
      <c r="K24" s="112">
        <v>0</v>
      </c>
      <c r="L24" s="112">
        <v>0</v>
      </c>
      <c r="M24" s="112">
        <v>0</v>
      </c>
      <c r="N24" s="112">
        <v>0</v>
      </c>
      <c r="P24" s="107">
        <f>SUM(E24:N24)</f>
        <v>0</v>
      </c>
    </row>
    <row r="25" spans="1:16" ht="11" thickBot="1">
      <c r="A25" s="108" t="s">
        <v>241</v>
      </c>
      <c r="C25" s="12">
        <f>SUM(C20:C24)</f>
        <v>4815</v>
      </c>
      <c r="E25" s="12">
        <f t="shared" ref="E25:N25" si="3">SUM(E20:E24)</f>
        <v>1308</v>
      </c>
      <c r="F25" s="12">
        <f t="shared" si="3"/>
        <v>2259</v>
      </c>
      <c r="G25" s="12">
        <f t="shared" si="3"/>
        <v>2876</v>
      </c>
      <c r="H25" s="12">
        <f t="shared" si="3"/>
        <v>2644.1611742120967</v>
      </c>
      <c r="I25" s="12">
        <f t="shared" si="3"/>
        <v>722.94451444325898</v>
      </c>
      <c r="J25" s="12">
        <f t="shared" si="3"/>
        <v>584.64838709269441</v>
      </c>
      <c r="K25" s="12">
        <f t="shared" si="3"/>
        <v>1450.4244008834266</v>
      </c>
      <c r="L25" s="12">
        <f t="shared" si="3"/>
        <v>414.4595070976892</v>
      </c>
      <c r="M25" s="12">
        <f t="shared" si="3"/>
        <v>-405.67530111088001</v>
      </c>
      <c r="N25" s="12">
        <f t="shared" si="3"/>
        <v>-1739.2639040810643</v>
      </c>
      <c r="P25" s="12">
        <f>SUM(P20:P24)</f>
        <v>10114.698778537222</v>
      </c>
    </row>
    <row r="26" spans="1:16" ht="5.25" customHeight="1" thickBot="1">
      <c r="A26" s="76"/>
    </row>
    <row r="27" spans="1:16" ht="11" thickBot="1">
      <c r="A27" s="106" t="s">
        <v>242</v>
      </c>
      <c r="C27" s="4"/>
      <c r="E27" s="4"/>
      <c r="F27" s="4"/>
      <c r="G27" s="4"/>
      <c r="H27" s="4"/>
      <c r="I27" s="4"/>
      <c r="J27" s="4"/>
      <c r="K27" s="4"/>
      <c r="L27" s="4"/>
      <c r="M27" s="4"/>
      <c r="N27" s="4"/>
      <c r="O27" s="105"/>
      <c r="P27" s="4"/>
    </row>
    <row r="28" spans="1:16" ht="11" thickBot="1">
      <c r="A28" s="5" t="s">
        <v>192</v>
      </c>
      <c r="C28" s="112">
        <v>0</v>
      </c>
      <c r="E28" s="112">
        <v>0</v>
      </c>
      <c r="F28" s="112">
        <v>0</v>
      </c>
      <c r="G28" s="112">
        <v>0</v>
      </c>
      <c r="H28" s="112">
        <v>0</v>
      </c>
      <c r="I28" s="112">
        <v>0</v>
      </c>
      <c r="J28" s="112">
        <v>0</v>
      </c>
      <c r="K28" s="112">
        <v>0</v>
      </c>
      <c r="L28" s="112">
        <v>0</v>
      </c>
      <c r="M28" s="112">
        <v>0</v>
      </c>
      <c r="N28" s="112">
        <v>0</v>
      </c>
      <c r="P28" s="107">
        <f>SUM(E28:N28)</f>
        <v>0</v>
      </c>
    </row>
    <row r="29" spans="1:16" ht="11" thickBot="1">
      <c r="A29" s="5" t="s">
        <v>193</v>
      </c>
      <c r="C29" s="112">
        <v>5289</v>
      </c>
      <c r="E29" s="112">
        <v>360</v>
      </c>
      <c r="F29" s="112">
        <v>279</v>
      </c>
      <c r="G29" s="112">
        <v>253</v>
      </c>
      <c r="H29" s="112">
        <v>62</v>
      </c>
      <c r="I29" s="112">
        <v>66</v>
      </c>
      <c r="J29" s="112">
        <v>67.563732386027269</v>
      </c>
      <c r="K29" s="112">
        <v>67.407907871324227</v>
      </c>
      <c r="L29" s="112">
        <v>75.7134405818733</v>
      </c>
      <c r="M29" s="112">
        <v>79.548375019920144</v>
      </c>
      <c r="N29" s="112">
        <v>85.353915826546086</v>
      </c>
      <c r="P29" s="107">
        <f>SUM(E29:N29)</f>
        <v>1395.5873716856909</v>
      </c>
    </row>
    <row r="30" spans="1:16" ht="11" thickBot="1">
      <c r="A30" s="5" t="s">
        <v>194</v>
      </c>
      <c r="C30" s="112">
        <v>2516</v>
      </c>
      <c r="E30" s="112">
        <v>2200</v>
      </c>
      <c r="F30" s="112">
        <v>3886</v>
      </c>
      <c r="G30" s="112">
        <v>4371</v>
      </c>
      <c r="H30" s="112">
        <v>4252</v>
      </c>
      <c r="I30" s="112">
        <v>2842</v>
      </c>
      <c r="J30" s="112">
        <v>2986.8625222024871</v>
      </c>
      <c r="K30" s="112">
        <v>3942.6660551616342</v>
      </c>
      <c r="L30" s="112">
        <v>2942.8064436721752</v>
      </c>
      <c r="M30" s="112">
        <v>2746.859448254726</v>
      </c>
      <c r="N30" s="112">
        <v>2692.9103754953298</v>
      </c>
      <c r="P30" s="107">
        <f>SUM(E30:N30)</f>
        <v>32863.10484478635</v>
      </c>
    </row>
    <row r="31" spans="1:16" ht="11" thickBot="1">
      <c r="A31" s="5" t="s">
        <v>243</v>
      </c>
      <c r="C31" s="112">
        <v>-2503</v>
      </c>
      <c r="E31" s="112">
        <v>142</v>
      </c>
      <c r="F31" s="112">
        <v>-40</v>
      </c>
      <c r="G31" s="112">
        <v>486</v>
      </c>
      <c r="H31" s="112">
        <v>337</v>
      </c>
      <c r="I31" s="112">
        <v>518</v>
      </c>
      <c r="J31" s="112">
        <v>452</v>
      </c>
      <c r="K31" s="112">
        <v>451</v>
      </c>
      <c r="L31" s="112">
        <v>398</v>
      </c>
      <c r="M31" s="112">
        <v>-256</v>
      </c>
      <c r="N31" s="112">
        <v>-1569</v>
      </c>
      <c r="P31" s="107">
        <f>SUM(E31:N31)</f>
        <v>919</v>
      </c>
    </row>
    <row r="32" spans="1:16" ht="11" thickBot="1">
      <c r="A32" s="5" t="s">
        <v>244</v>
      </c>
      <c r="C32" s="112">
        <v>0</v>
      </c>
      <c r="E32" s="112">
        <v>0</v>
      </c>
      <c r="F32" s="112">
        <v>0</v>
      </c>
      <c r="G32" s="112">
        <v>0</v>
      </c>
      <c r="H32" s="112">
        <v>622.87305001225127</v>
      </c>
      <c r="I32" s="112">
        <v>0</v>
      </c>
      <c r="J32" s="112">
        <v>0</v>
      </c>
      <c r="K32" s="112">
        <v>0</v>
      </c>
      <c r="L32" s="112">
        <v>0</v>
      </c>
      <c r="M32" s="112">
        <v>0</v>
      </c>
      <c r="N32" s="112">
        <v>0</v>
      </c>
      <c r="P32" s="107">
        <f>SUM(E32:N32)</f>
        <v>622.87305001225127</v>
      </c>
    </row>
    <row r="33" spans="1:16" ht="11" thickBot="1">
      <c r="A33" s="108" t="s">
        <v>245</v>
      </c>
      <c r="C33" s="12">
        <f>SUM(C28:C32)</f>
        <v>5302</v>
      </c>
      <c r="E33" s="12">
        <f t="shared" ref="E33:M33" si="4">SUM(E28:E32)</f>
        <v>2702</v>
      </c>
      <c r="F33" s="12">
        <f t="shared" si="4"/>
        <v>4125</v>
      </c>
      <c r="G33" s="12">
        <f t="shared" si="4"/>
        <v>5110</v>
      </c>
      <c r="H33" s="12">
        <f t="shared" si="4"/>
        <v>5273.873050012251</v>
      </c>
      <c r="I33" s="12">
        <f t="shared" si="4"/>
        <v>3426</v>
      </c>
      <c r="J33" s="12">
        <f t="shared" si="4"/>
        <v>3506.4262545885144</v>
      </c>
      <c r="K33" s="12">
        <f t="shared" si="4"/>
        <v>4461.073963032959</v>
      </c>
      <c r="L33" s="12">
        <f t="shared" si="4"/>
        <v>3416.5198842540485</v>
      </c>
      <c r="M33" s="12">
        <f t="shared" si="4"/>
        <v>2570.407823274646</v>
      </c>
      <c r="N33" s="12">
        <f>SUM(N28:N32)</f>
        <v>1209.264291321876</v>
      </c>
      <c r="P33" s="12">
        <f>SUM(P28:P32)</f>
        <v>35800.565266484293</v>
      </c>
    </row>
    <row r="34" spans="1:16" ht="5.25" customHeight="1" thickBot="1">
      <c r="A34" s="110"/>
    </row>
    <row r="35" spans="1:16" ht="11" thickBot="1">
      <c r="A35" s="108" t="s">
        <v>246</v>
      </c>
      <c r="C35" s="12">
        <f>C25-C33</f>
        <v>-487</v>
      </c>
      <c r="E35" s="12">
        <f t="shared" ref="E35:M35" si="5">E25-E33</f>
        <v>-1394</v>
      </c>
      <c r="F35" s="12">
        <f t="shared" si="5"/>
        <v>-1866</v>
      </c>
      <c r="G35" s="12">
        <f t="shared" si="5"/>
        <v>-2234</v>
      </c>
      <c r="H35" s="12">
        <f t="shared" si="5"/>
        <v>-2629.7118758001543</v>
      </c>
      <c r="I35" s="12">
        <f t="shared" si="5"/>
        <v>-2703.0554855567411</v>
      </c>
      <c r="J35" s="12">
        <f t="shared" si="5"/>
        <v>-2921.7778674958199</v>
      </c>
      <c r="K35" s="12">
        <f t="shared" si="5"/>
        <v>-3010.6495621495324</v>
      </c>
      <c r="L35" s="12">
        <f t="shared" si="5"/>
        <v>-3002.0603771563592</v>
      </c>
      <c r="M35" s="12">
        <f t="shared" si="5"/>
        <v>-2976.0831243855259</v>
      </c>
      <c r="N35" s="12">
        <f>N25-N33</f>
        <v>-2948.5281954029406</v>
      </c>
      <c r="P35" s="12">
        <f>P25-P33</f>
        <v>-25685.866487947071</v>
      </c>
    </row>
    <row r="36" spans="1:16" ht="5.25" customHeight="1" thickBot="1">
      <c r="A36" s="111"/>
    </row>
    <row r="37" spans="1:16" ht="11" thickBot="1">
      <c r="A37" s="108" t="s">
        <v>247</v>
      </c>
      <c r="C37" s="12">
        <f>C17+C35</f>
        <v>-1</v>
      </c>
      <c r="E37" s="12">
        <f t="shared" ref="E37:M37" si="6">E17+E35</f>
        <v>0</v>
      </c>
      <c r="F37" s="12">
        <f t="shared" si="6"/>
        <v>0</v>
      </c>
      <c r="G37" s="12">
        <f t="shared" si="6"/>
        <v>0</v>
      </c>
      <c r="H37" s="12">
        <f t="shared" si="6"/>
        <v>0</v>
      </c>
      <c r="I37" s="12">
        <f t="shared" si="6"/>
        <v>0</v>
      </c>
      <c r="J37" s="12">
        <f t="shared" si="6"/>
        <v>0</v>
      </c>
      <c r="K37" s="12">
        <f t="shared" si="6"/>
        <v>0.1726350424305565</v>
      </c>
      <c r="L37" s="12">
        <f t="shared" si="6"/>
        <v>1.0772910455671081E-2</v>
      </c>
      <c r="M37" s="12">
        <f t="shared" si="6"/>
        <v>1.6978382710021833E-2</v>
      </c>
      <c r="N37" s="12">
        <f>N17+N35</f>
        <v>2.4288878701554495E-2</v>
      </c>
      <c r="P37" s="12">
        <f>P17+P35</f>
        <v>0.22467521429280168</v>
      </c>
    </row>
    <row r="38" spans="1:16" ht="11" thickBot="1"/>
    <row r="39" spans="1:16" ht="11" thickBot="1">
      <c r="A39" s="104" t="s">
        <v>248</v>
      </c>
      <c r="B39" s="91"/>
      <c r="C39" s="91" t="s">
        <v>29</v>
      </c>
      <c r="D39" s="91"/>
      <c r="E39" s="91" t="s">
        <v>19</v>
      </c>
      <c r="F39" s="91" t="s">
        <v>20</v>
      </c>
      <c r="G39" s="91" t="s">
        <v>21</v>
      </c>
      <c r="H39" s="91" t="s">
        <v>22</v>
      </c>
      <c r="I39" s="91" t="s">
        <v>23</v>
      </c>
      <c r="J39" s="91" t="s">
        <v>24</v>
      </c>
      <c r="K39" s="91" t="s">
        <v>25</v>
      </c>
      <c r="L39" s="91" t="s">
        <v>26</v>
      </c>
      <c r="M39" s="91" t="s">
        <v>27</v>
      </c>
      <c r="N39" s="91" t="s">
        <v>28</v>
      </c>
      <c r="O39" s="105"/>
    </row>
    <row r="40" spans="1:16" ht="11" thickBot="1">
      <c r="A40" s="5" t="s">
        <v>181</v>
      </c>
      <c r="C40" s="61">
        <f>C$8</f>
        <v>3478</v>
      </c>
      <c r="E40" s="61">
        <f t="shared" ref="E40:N40" si="7">E$8</f>
        <v>4040</v>
      </c>
      <c r="F40" s="61">
        <f t="shared" si="7"/>
        <v>4691</v>
      </c>
      <c r="G40" s="61">
        <f t="shared" si="7"/>
        <v>5236</v>
      </c>
      <c r="H40" s="61">
        <f t="shared" si="7"/>
        <v>6132.2842770869456</v>
      </c>
      <c r="I40" s="61">
        <f t="shared" si="7"/>
        <v>6389.0783349209114</v>
      </c>
      <c r="J40" s="61">
        <f t="shared" si="7"/>
        <v>6777.6076929023075</v>
      </c>
      <c r="K40" s="61">
        <f t="shared" si="7"/>
        <v>6982.8400607481462</v>
      </c>
      <c r="L40" s="61">
        <f t="shared" si="7"/>
        <v>7054.0859209413857</v>
      </c>
      <c r="M40" s="61">
        <f t="shared" si="7"/>
        <v>7130.8895264071925</v>
      </c>
      <c r="N40" s="61">
        <f t="shared" si="7"/>
        <v>7172.530598358062</v>
      </c>
    </row>
    <row r="41" spans="1:16" ht="11" thickBot="1">
      <c r="A41" s="5" t="s">
        <v>249</v>
      </c>
      <c r="C41" s="61">
        <f>C$20+C$21+C$23+C$24</f>
        <v>40</v>
      </c>
      <c r="E41" s="61">
        <f t="shared" ref="E41:N41" si="8">E$20+E$21+E$23+E$24</f>
        <v>597</v>
      </c>
      <c r="F41" s="61">
        <f t="shared" si="8"/>
        <v>99</v>
      </c>
      <c r="G41" s="61">
        <f t="shared" si="8"/>
        <v>101</v>
      </c>
      <c r="H41" s="61">
        <f t="shared" si="8"/>
        <v>102</v>
      </c>
      <c r="I41" s="61">
        <f t="shared" si="8"/>
        <v>103</v>
      </c>
      <c r="J41" s="61">
        <f t="shared" si="8"/>
        <v>103</v>
      </c>
      <c r="K41" s="61">
        <f t="shared" si="8"/>
        <v>104</v>
      </c>
      <c r="L41" s="61">
        <f t="shared" si="8"/>
        <v>104</v>
      </c>
      <c r="M41" s="61">
        <f t="shared" si="8"/>
        <v>105</v>
      </c>
      <c r="N41" s="61">
        <f t="shared" si="8"/>
        <v>105</v>
      </c>
    </row>
    <row r="42" spans="1:16" ht="11" thickBot="1">
      <c r="A42" s="108" t="s">
        <v>250</v>
      </c>
      <c r="C42" s="12">
        <f>SUM(C40:C41)</f>
        <v>3518</v>
      </c>
      <c r="E42" s="12">
        <f t="shared" ref="E42:N42" si="9">SUM(E40:E41)</f>
        <v>4637</v>
      </c>
      <c r="F42" s="12">
        <f t="shared" si="9"/>
        <v>4790</v>
      </c>
      <c r="G42" s="12">
        <f t="shared" si="9"/>
        <v>5337</v>
      </c>
      <c r="H42" s="12">
        <f t="shared" si="9"/>
        <v>6234.2842770869456</v>
      </c>
      <c r="I42" s="12">
        <f t="shared" si="9"/>
        <v>6492.0783349209114</v>
      </c>
      <c r="J42" s="12">
        <f t="shared" si="9"/>
        <v>6880.6076929023075</v>
      </c>
      <c r="K42" s="12">
        <f t="shared" si="9"/>
        <v>7086.8400607481462</v>
      </c>
      <c r="L42" s="12">
        <f t="shared" si="9"/>
        <v>7158.0859209413857</v>
      </c>
      <c r="M42" s="12">
        <f t="shared" si="9"/>
        <v>7235.8895264071925</v>
      </c>
      <c r="N42" s="12">
        <f t="shared" si="9"/>
        <v>7277.530598358062</v>
      </c>
    </row>
    <row r="43" spans="1:16" ht="5.25" customHeight="1" thickBot="1">
      <c r="A43" s="5"/>
      <c r="C43" s="60"/>
      <c r="E43" s="60"/>
      <c r="F43" s="60"/>
      <c r="G43" s="60"/>
      <c r="H43" s="60"/>
      <c r="I43" s="60"/>
      <c r="J43" s="60"/>
      <c r="K43" s="60"/>
      <c r="L43" s="60"/>
      <c r="M43" s="60"/>
      <c r="N43" s="60"/>
    </row>
    <row r="44" spans="1:16" ht="11" thickBot="1">
      <c r="A44" s="5" t="s">
        <v>251</v>
      </c>
      <c r="C44" s="61">
        <f>C$11+C$14</f>
        <v>1072</v>
      </c>
      <c r="E44" s="61">
        <f t="shared" ref="E44:N44" si="10">E$11+E$14</f>
        <v>1116</v>
      </c>
      <c r="F44" s="61">
        <f t="shared" si="10"/>
        <v>1193</v>
      </c>
      <c r="G44" s="61">
        <f t="shared" si="10"/>
        <v>1205</v>
      </c>
      <c r="H44" s="61">
        <f t="shared" si="10"/>
        <v>1314.7025576714527</v>
      </c>
      <c r="I44" s="61">
        <f t="shared" si="10"/>
        <v>1351.170121613239</v>
      </c>
      <c r="J44" s="61">
        <f t="shared" si="10"/>
        <v>1418.7895523531652</v>
      </c>
      <c r="K44" s="61">
        <f t="shared" si="10"/>
        <v>1452.3820674276285</v>
      </c>
      <c r="L44" s="61">
        <f t="shared" si="10"/>
        <v>1445.2070685389483</v>
      </c>
      <c r="M44" s="61">
        <f t="shared" si="10"/>
        <v>1472.4692662123571</v>
      </c>
      <c r="N44" s="61">
        <f t="shared" si="10"/>
        <v>1499.5223347945696</v>
      </c>
    </row>
    <row r="45" spans="1:16" ht="11" thickBot="1">
      <c r="A45" s="5" t="s">
        <v>230</v>
      </c>
      <c r="C45" s="61">
        <f>C$12</f>
        <v>683</v>
      </c>
      <c r="E45" s="61">
        <f t="shared" ref="E45:N45" si="11">E$12</f>
        <v>697</v>
      </c>
      <c r="F45" s="61">
        <f t="shared" si="11"/>
        <v>767</v>
      </c>
      <c r="G45" s="61">
        <f t="shared" si="11"/>
        <v>895</v>
      </c>
      <c r="H45" s="61">
        <f t="shared" si="11"/>
        <v>1287.8698436153386</v>
      </c>
      <c r="I45" s="61">
        <f t="shared" si="11"/>
        <v>1406.8527277509315</v>
      </c>
      <c r="J45" s="61">
        <f t="shared" si="11"/>
        <v>1478.0402730533228</v>
      </c>
      <c r="K45" s="61">
        <f t="shared" si="11"/>
        <v>1551.6357961285548</v>
      </c>
      <c r="L45" s="61">
        <f t="shared" si="11"/>
        <v>1616.8077023356223</v>
      </c>
      <c r="M45" s="61">
        <f t="shared" si="11"/>
        <v>1661.3201574266</v>
      </c>
      <c r="N45" s="61">
        <f t="shared" si="11"/>
        <v>1690.4557792818505</v>
      </c>
    </row>
    <row r="46" spans="1:16" ht="11" thickBot="1">
      <c r="A46" s="5" t="s">
        <v>252</v>
      </c>
      <c r="C46" s="61">
        <f>C$13</f>
        <v>1237</v>
      </c>
      <c r="E46" s="61">
        <f t="shared" ref="E46:N46" si="12">E$13</f>
        <v>833</v>
      </c>
      <c r="F46" s="61">
        <f t="shared" si="12"/>
        <v>865</v>
      </c>
      <c r="G46" s="61">
        <f t="shared" si="12"/>
        <v>902</v>
      </c>
      <c r="H46" s="61">
        <f t="shared" si="12"/>
        <v>900</v>
      </c>
      <c r="I46" s="61">
        <f t="shared" si="12"/>
        <v>928</v>
      </c>
      <c r="J46" s="61">
        <f t="shared" si="12"/>
        <v>959</v>
      </c>
      <c r="K46" s="61">
        <f t="shared" si="12"/>
        <v>968</v>
      </c>
      <c r="L46" s="61">
        <f t="shared" si="12"/>
        <v>990</v>
      </c>
      <c r="M46" s="61">
        <f t="shared" si="12"/>
        <v>1021</v>
      </c>
      <c r="N46" s="61">
        <f t="shared" si="12"/>
        <v>1034</v>
      </c>
    </row>
    <row r="47" spans="1:16" ht="11" thickBot="1">
      <c r="A47" s="5" t="s">
        <v>253</v>
      </c>
      <c r="C47" s="61">
        <f>Input!O19</f>
        <v>778</v>
      </c>
      <c r="E47" s="61">
        <f>Input!C$19</f>
        <v>778</v>
      </c>
      <c r="F47" s="61">
        <f>Input!D$19</f>
        <v>1190</v>
      </c>
      <c r="G47" s="61">
        <f>Input!E$19</f>
        <v>1392</v>
      </c>
      <c r="H47" s="61">
        <f>Input!F$19</f>
        <v>1444</v>
      </c>
      <c r="I47" s="61">
        <f>Input!G$19</f>
        <v>1573</v>
      </c>
      <c r="J47" s="61">
        <f>Input!H$19</f>
        <v>1580</v>
      </c>
      <c r="K47" s="61">
        <f>Input!I$19</f>
        <v>1552.9381926295746</v>
      </c>
      <c r="L47" s="61">
        <f>Input!J$19</f>
        <v>1603.7253088197824</v>
      </c>
      <c r="M47" s="61">
        <f>Input!K$19</f>
        <v>1549.4216690517353</v>
      </c>
      <c r="N47" s="61">
        <f>Input!L$19</f>
        <v>1548.913896101159</v>
      </c>
    </row>
    <row r="48" spans="1:16" ht="11" thickBot="1">
      <c r="A48" s="108" t="s">
        <v>254</v>
      </c>
      <c r="C48" s="12">
        <f>SUM(C44:C47)</f>
        <v>3770</v>
      </c>
      <c r="E48" s="12">
        <f t="shared" ref="E48:N48" si="13">SUM(E44:E47)</f>
        <v>3424</v>
      </c>
      <c r="F48" s="12">
        <f t="shared" si="13"/>
        <v>4015</v>
      </c>
      <c r="G48" s="12">
        <f t="shared" si="13"/>
        <v>4394</v>
      </c>
      <c r="H48" s="12">
        <f t="shared" si="13"/>
        <v>4946.5724012867913</v>
      </c>
      <c r="I48" s="12">
        <f t="shared" si="13"/>
        <v>5259.0228493641707</v>
      </c>
      <c r="J48" s="12">
        <f t="shared" si="13"/>
        <v>5435.8298254064885</v>
      </c>
      <c r="K48" s="12">
        <f t="shared" si="13"/>
        <v>5524.9560561857579</v>
      </c>
      <c r="L48" s="12">
        <f t="shared" si="13"/>
        <v>5655.740079694353</v>
      </c>
      <c r="M48" s="12">
        <f t="shared" si="13"/>
        <v>5704.2110926906917</v>
      </c>
      <c r="N48" s="12">
        <f t="shared" si="13"/>
        <v>5772.8920101775784</v>
      </c>
    </row>
    <row r="49" spans="1:15" ht="5.25" customHeight="1" thickBot="1">
      <c r="A49" s="5"/>
      <c r="C49" s="61"/>
      <c r="E49" s="60"/>
      <c r="F49" s="60"/>
      <c r="G49" s="60"/>
      <c r="H49" s="60"/>
      <c r="I49" s="60"/>
      <c r="J49" s="60"/>
      <c r="K49" s="60"/>
      <c r="L49" s="60"/>
      <c r="M49" s="60"/>
      <c r="N49" s="60"/>
    </row>
    <row r="50" spans="1:15" ht="11" thickBot="1">
      <c r="A50" s="108" t="s">
        <v>255</v>
      </c>
      <c r="C50" s="12">
        <f>C42-C48</f>
        <v>-252</v>
      </c>
      <c r="E50" s="12">
        <f t="shared" ref="E50:N50" si="14">E42-E48</f>
        <v>1213</v>
      </c>
      <c r="F50" s="12">
        <f t="shared" si="14"/>
        <v>775</v>
      </c>
      <c r="G50" s="12">
        <f t="shared" si="14"/>
        <v>943</v>
      </c>
      <c r="H50" s="12">
        <f t="shared" si="14"/>
        <v>1287.7118758001543</v>
      </c>
      <c r="I50" s="12">
        <f t="shared" si="14"/>
        <v>1233.0554855567407</v>
      </c>
      <c r="J50" s="12">
        <f t="shared" si="14"/>
        <v>1444.777867495819</v>
      </c>
      <c r="K50" s="12">
        <f t="shared" si="14"/>
        <v>1561.8840045623883</v>
      </c>
      <c r="L50" s="12">
        <f t="shared" si="14"/>
        <v>1502.3458412470327</v>
      </c>
      <c r="M50" s="12">
        <f t="shared" si="14"/>
        <v>1531.6784337165009</v>
      </c>
      <c r="N50" s="12">
        <f t="shared" si="14"/>
        <v>1504.6385881804836</v>
      </c>
    </row>
    <row r="51" spans="1:15" ht="5.25" customHeight="1" thickBot="1">
      <c r="A51" s="5"/>
      <c r="C51" s="61"/>
      <c r="E51" s="60"/>
      <c r="F51" s="60"/>
      <c r="G51" s="60"/>
      <c r="H51" s="60"/>
      <c r="I51" s="60"/>
      <c r="J51" s="60"/>
      <c r="K51" s="60"/>
      <c r="L51" s="60"/>
      <c r="M51" s="60"/>
      <c r="N51" s="60"/>
    </row>
    <row r="52" spans="1:15" ht="11" thickBot="1">
      <c r="A52" s="5" t="s">
        <v>256</v>
      </c>
      <c r="C52" s="112">
        <f>Input!O24</f>
        <v>0</v>
      </c>
      <c r="E52" s="61">
        <f>Input!C$24</f>
        <v>0</v>
      </c>
      <c r="F52" s="61">
        <f>Input!D$24</f>
        <v>1852.8492959999999</v>
      </c>
      <c r="G52" s="61">
        <f>Input!E$24</f>
        <v>0</v>
      </c>
      <c r="H52" s="61">
        <f>Input!F$24</f>
        <v>2215.4261250815939</v>
      </c>
      <c r="I52" s="61">
        <f>Input!G$24</f>
        <v>0</v>
      </c>
      <c r="J52" s="61">
        <f>Input!H$24</f>
        <v>2533.8792608856402</v>
      </c>
      <c r="K52" s="61">
        <f>Input!I$24</f>
        <v>0</v>
      </c>
      <c r="L52" s="61">
        <f>Input!J$24</f>
        <v>2795.6405766770649</v>
      </c>
      <c r="M52" s="61">
        <f>Input!K$24</f>
        <v>0</v>
      </c>
      <c r="N52" s="61">
        <f>Input!L$24</f>
        <v>3062.1989021003737</v>
      </c>
    </row>
    <row r="53" spans="1:15" ht="11" thickBot="1">
      <c r="A53" s="108" t="s">
        <v>257</v>
      </c>
      <c r="C53" s="12">
        <f>C50+C52</f>
        <v>-252</v>
      </c>
      <c r="E53" s="12">
        <f t="shared" ref="E53:N53" si="15">E50+E52</f>
        <v>1213</v>
      </c>
      <c r="F53" s="12">
        <f t="shared" si="15"/>
        <v>2627.8492959999999</v>
      </c>
      <c r="G53" s="12">
        <f t="shared" si="15"/>
        <v>943</v>
      </c>
      <c r="H53" s="12">
        <f t="shared" si="15"/>
        <v>3503.1380008817482</v>
      </c>
      <c r="I53" s="12">
        <f t="shared" si="15"/>
        <v>1233.0554855567407</v>
      </c>
      <c r="J53" s="12">
        <f t="shared" si="15"/>
        <v>3978.6571283814592</v>
      </c>
      <c r="K53" s="12">
        <f t="shared" si="15"/>
        <v>1561.8840045623883</v>
      </c>
      <c r="L53" s="12">
        <f t="shared" si="15"/>
        <v>4297.9864179240976</v>
      </c>
      <c r="M53" s="12">
        <f t="shared" si="15"/>
        <v>1531.6784337165009</v>
      </c>
      <c r="N53" s="12">
        <f t="shared" si="15"/>
        <v>4566.8374902808573</v>
      </c>
    </row>
    <row r="54" spans="1:15" ht="5.25" customHeight="1" thickBot="1">
      <c r="A54" s="5"/>
      <c r="C54" s="61"/>
      <c r="E54" s="60"/>
      <c r="F54" s="60"/>
      <c r="G54" s="60"/>
      <c r="H54" s="60"/>
      <c r="I54" s="60"/>
      <c r="J54" s="60"/>
      <c r="K54" s="60"/>
      <c r="L54" s="60"/>
      <c r="M54" s="60"/>
      <c r="N54" s="60"/>
    </row>
    <row r="55" spans="1:15" ht="11" thickBot="1">
      <c r="A55" s="108" t="s">
        <v>258</v>
      </c>
      <c r="C55" s="12">
        <f>C50+C47</f>
        <v>526</v>
      </c>
      <c r="E55" s="12">
        <f t="shared" ref="E55:N55" si="16">E50+E47</f>
        <v>1991</v>
      </c>
      <c r="F55" s="12">
        <f t="shared" si="16"/>
        <v>1965</v>
      </c>
      <c r="G55" s="12">
        <f t="shared" si="16"/>
        <v>2335</v>
      </c>
      <c r="H55" s="12">
        <f t="shared" si="16"/>
        <v>2731.7118758001543</v>
      </c>
      <c r="I55" s="12">
        <f t="shared" si="16"/>
        <v>2806.0554855567407</v>
      </c>
      <c r="J55" s="12">
        <f t="shared" si="16"/>
        <v>3024.777867495819</v>
      </c>
      <c r="K55" s="12">
        <f t="shared" si="16"/>
        <v>3114.8221971919629</v>
      </c>
      <c r="L55" s="12">
        <f t="shared" si="16"/>
        <v>3106.0711500668149</v>
      </c>
      <c r="M55" s="12">
        <f t="shared" si="16"/>
        <v>3081.100102768236</v>
      </c>
      <c r="N55" s="12">
        <f t="shared" si="16"/>
        <v>3053.5524842816426</v>
      </c>
    </row>
    <row r="56" spans="1:15" ht="11" thickBot="1"/>
    <row r="57" spans="1:15" ht="11" thickBot="1">
      <c r="A57" s="104" t="s">
        <v>259</v>
      </c>
      <c r="B57" s="91"/>
      <c r="C57" s="91" t="s">
        <v>29</v>
      </c>
      <c r="D57" s="91"/>
      <c r="E57" s="91" t="s">
        <v>19</v>
      </c>
      <c r="F57" s="91" t="s">
        <v>20</v>
      </c>
      <c r="G57" s="91" t="s">
        <v>21</v>
      </c>
      <c r="H57" s="91" t="s">
        <v>22</v>
      </c>
      <c r="I57" s="91" t="s">
        <v>23</v>
      </c>
      <c r="J57" s="91" t="s">
        <v>24</v>
      </c>
      <c r="K57" s="91" t="s">
        <v>25</v>
      </c>
      <c r="L57" s="91" t="s">
        <v>26</v>
      </c>
      <c r="M57" s="91" t="s">
        <v>27</v>
      </c>
      <c r="N57" s="91" t="s">
        <v>28</v>
      </c>
    </row>
    <row r="58" spans="1:15" ht="11" thickBot="1">
      <c r="A58" s="106" t="s">
        <v>260</v>
      </c>
      <c r="C58" s="4"/>
      <c r="E58" s="4"/>
      <c r="F58" s="4"/>
      <c r="G58" s="4"/>
      <c r="H58" s="4"/>
      <c r="I58" s="4"/>
      <c r="J58" s="4"/>
      <c r="K58" s="4"/>
      <c r="L58" s="4"/>
      <c r="M58" s="4"/>
      <c r="N58" s="4"/>
      <c r="O58" s="105"/>
    </row>
    <row r="59" spans="1:15" ht="11" thickBot="1">
      <c r="A59" s="5" t="s">
        <v>261</v>
      </c>
      <c r="C59" s="61">
        <f>C$55</f>
        <v>526</v>
      </c>
      <c r="E59" s="61">
        <f t="shared" ref="E59:N59" si="17">E$55</f>
        <v>1991</v>
      </c>
      <c r="F59" s="61">
        <f t="shared" si="17"/>
        <v>1965</v>
      </c>
      <c r="G59" s="61">
        <f t="shared" si="17"/>
        <v>2335</v>
      </c>
      <c r="H59" s="61">
        <f t="shared" si="17"/>
        <v>2731.7118758001543</v>
      </c>
      <c r="I59" s="61">
        <f t="shared" si="17"/>
        <v>2806.0554855567407</v>
      </c>
      <c r="J59" s="61">
        <f t="shared" si="17"/>
        <v>3024.777867495819</v>
      </c>
      <c r="K59" s="61">
        <f t="shared" si="17"/>
        <v>3114.8221971919629</v>
      </c>
      <c r="L59" s="61">
        <f t="shared" si="17"/>
        <v>3106.0711500668149</v>
      </c>
      <c r="M59" s="61">
        <f t="shared" si="17"/>
        <v>3081.100102768236</v>
      </c>
      <c r="N59" s="61">
        <f t="shared" si="17"/>
        <v>3053.5524842816426</v>
      </c>
    </row>
    <row r="60" spans="1:15" ht="11" thickBot="1">
      <c r="A60" s="5" t="s">
        <v>262</v>
      </c>
      <c r="C60" s="61"/>
      <c r="E60" s="61"/>
      <c r="F60" s="61"/>
      <c r="G60" s="61"/>
      <c r="H60" s="61"/>
      <c r="I60" s="61"/>
      <c r="J60" s="61"/>
      <c r="K60" s="61"/>
      <c r="L60" s="61"/>
      <c r="M60" s="61"/>
      <c r="N60" s="61"/>
    </row>
    <row r="61" spans="1:15" ht="11" thickBot="1">
      <c r="A61" s="108" t="s">
        <v>263</v>
      </c>
      <c r="C61" s="12">
        <f>SUM(C59:C60)</f>
        <v>526</v>
      </c>
      <c r="E61" s="12">
        <f t="shared" ref="E61:N61" si="18">SUM(E59:E60)</f>
        <v>1991</v>
      </c>
      <c r="F61" s="12">
        <f t="shared" si="18"/>
        <v>1965</v>
      </c>
      <c r="G61" s="12">
        <f t="shared" si="18"/>
        <v>2335</v>
      </c>
      <c r="H61" s="12">
        <f t="shared" si="18"/>
        <v>2731.7118758001543</v>
      </c>
      <c r="I61" s="12">
        <f t="shared" si="18"/>
        <v>2806.0554855567407</v>
      </c>
      <c r="J61" s="12">
        <f t="shared" si="18"/>
        <v>3024.777867495819</v>
      </c>
      <c r="K61" s="12">
        <f t="shared" si="18"/>
        <v>3114.8221971919629</v>
      </c>
      <c r="L61" s="12">
        <f t="shared" si="18"/>
        <v>3106.0711500668149</v>
      </c>
      <c r="M61" s="12">
        <f t="shared" si="18"/>
        <v>3081.100102768236</v>
      </c>
      <c r="N61" s="12">
        <f t="shared" si="18"/>
        <v>3053.5524842816426</v>
      </c>
    </row>
    <row r="62" spans="1:15" ht="5.25" customHeight="1" thickBot="1">
      <c r="A62" s="5"/>
      <c r="C62" s="61"/>
      <c r="E62" s="60"/>
      <c r="F62" s="60"/>
      <c r="G62" s="60"/>
      <c r="H62" s="60"/>
      <c r="I62" s="60"/>
      <c r="J62" s="60"/>
      <c r="K62" s="60"/>
      <c r="L62" s="60"/>
      <c r="M62" s="60"/>
      <c r="N62" s="60"/>
    </row>
    <row r="63" spans="1:15" ht="11" thickBot="1">
      <c r="A63" s="106" t="s">
        <v>264</v>
      </c>
      <c r="C63" s="4"/>
      <c r="E63" s="4"/>
      <c r="F63" s="4"/>
      <c r="G63" s="4"/>
      <c r="H63" s="4"/>
      <c r="I63" s="4"/>
      <c r="J63" s="4"/>
      <c r="K63" s="4"/>
      <c r="L63" s="4"/>
      <c r="M63" s="4"/>
      <c r="N63" s="4"/>
      <c r="O63" s="105"/>
    </row>
    <row r="64" spans="1:15" ht="11" thickBot="1">
      <c r="A64" s="5" t="s">
        <v>262</v>
      </c>
      <c r="C64" s="61"/>
      <c r="E64" s="61"/>
      <c r="F64" s="61"/>
      <c r="G64" s="61"/>
      <c r="H64" s="61">
        <f t="shared" ref="H64" si="19">-H32</f>
        <v>-622.87305001225127</v>
      </c>
      <c r="I64" s="61"/>
      <c r="J64" s="61"/>
      <c r="K64" s="61"/>
      <c r="L64" s="61"/>
      <c r="M64" s="61"/>
      <c r="N64" s="61"/>
    </row>
    <row r="65" spans="1:15" ht="11" thickBot="1">
      <c r="A65" s="5" t="s">
        <v>171</v>
      </c>
      <c r="C65" s="61">
        <f>-SUM(C$28:C$30)</f>
        <v>-7805</v>
      </c>
      <c r="E65" s="61">
        <f t="shared" ref="E65:N65" si="20">-SUM(E$28:E$30)</f>
        <v>-2560</v>
      </c>
      <c r="F65" s="61">
        <f t="shared" si="20"/>
        <v>-4165</v>
      </c>
      <c r="G65" s="61">
        <f t="shared" si="20"/>
        <v>-4624</v>
      </c>
      <c r="H65" s="61">
        <f t="shared" si="20"/>
        <v>-4314</v>
      </c>
      <c r="I65" s="61">
        <f t="shared" si="20"/>
        <v>-2908</v>
      </c>
      <c r="J65" s="61">
        <f t="shared" si="20"/>
        <v>-3054.4262545885144</v>
      </c>
      <c r="K65" s="61">
        <f t="shared" si="20"/>
        <v>-4010.0739630329585</v>
      </c>
      <c r="L65" s="61">
        <f t="shared" si="20"/>
        <v>-3018.5198842540485</v>
      </c>
      <c r="M65" s="61">
        <f t="shared" si="20"/>
        <v>-2826.407823274646</v>
      </c>
      <c r="N65" s="61">
        <f t="shared" si="20"/>
        <v>-2778.264291321876</v>
      </c>
    </row>
    <row r="66" spans="1:15" ht="11" thickBot="1">
      <c r="A66" s="108" t="s">
        <v>265</v>
      </c>
      <c r="C66" s="12">
        <f>SUM(C64:C65)</f>
        <v>-7805</v>
      </c>
      <c r="E66" s="12">
        <f t="shared" ref="E66:N66" si="21">SUM(E64:E65)</f>
        <v>-2560</v>
      </c>
      <c r="F66" s="12">
        <f t="shared" si="21"/>
        <v>-4165</v>
      </c>
      <c r="G66" s="12">
        <f t="shared" si="21"/>
        <v>-4624</v>
      </c>
      <c r="H66" s="12">
        <f t="shared" si="21"/>
        <v>-4936.873050012251</v>
      </c>
      <c r="I66" s="12">
        <f t="shared" si="21"/>
        <v>-2908</v>
      </c>
      <c r="J66" s="12">
        <f t="shared" si="21"/>
        <v>-3054.4262545885144</v>
      </c>
      <c r="K66" s="12">
        <f t="shared" si="21"/>
        <v>-4010.0739630329585</v>
      </c>
      <c r="L66" s="12">
        <f t="shared" si="21"/>
        <v>-3018.5198842540485</v>
      </c>
      <c r="M66" s="12">
        <f t="shared" si="21"/>
        <v>-2826.407823274646</v>
      </c>
      <c r="N66" s="12">
        <f t="shared" si="21"/>
        <v>-2778.264291321876</v>
      </c>
    </row>
    <row r="67" spans="1:15" ht="5.25" customHeight="1" thickBot="1">
      <c r="A67" s="5"/>
      <c r="C67" s="61"/>
      <c r="E67" s="60"/>
      <c r="F67" s="60"/>
      <c r="G67" s="60"/>
      <c r="H67" s="60"/>
      <c r="I67" s="60"/>
      <c r="J67" s="60"/>
      <c r="K67" s="60"/>
      <c r="L67" s="60"/>
      <c r="M67" s="60"/>
      <c r="N67" s="60"/>
    </row>
    <row r="68" spans="1:15" ht="11" thickBot="1">
      <c r="A68" s="106" t="s">
        <v>266</v>
      </c>
      <c r="C68" s="4"/>
      <c r="E68" s="4"/>
      <c r="F68" s="4"/>
      <c r="G68" s="4"/>
      <c r="H68" s="4"/>
      <c r="I68" s="4"/>
      <c r="J68" s="4"/>
      <c r="K68" s="4"/>
      <c r="L68" s="4"/>
      <c r="M68" s="4"/>
      <c r="N68" s="4"/>
      <c r="O68" s="105"/>
    </row>
    <row r="69" spans="1:15" ht="11" thickBot="1">
      <c r="A69" s="5" t="s">
        <v>267</v>
      </c>
      <c r="C69" s="61">
        <f>C$22-C$70</f>
        <v>4775</v>
      </c>
      <c r="E69" s="61">
        <f>E$22-E$70-E31</f>
        <v>569</v>
      </c>
      <c r="F69" s="61">
        <f t="shared" ref="F69:N69" si="22">F$22-F$70-F31</f>
        <v>2200</v>
      </c>
      <c r="G69" s="61">
        <f t="shared" si="22"/>
        <v>2289</v>
      </c>
      <c r="H69" s="61">
        <f t="shared" si="22"/>
        <v>2205.1611742120967</v>
      </c>
      <c r="I69" s="61">
        <f t="shared" si="22"/>
        <v>101.94451444325898</v>
      </c>
      <c r="J69" s="61">
        <f t="shared" si="22"/>
        <v>29.648387092694406</v>
      </c>
      <c r="K69" s="61">
        <f t="shared" si="22"/>
        <v>895.42440088342664</v>
      </c>
      <c r="L69" s="61">
        <f t="shared" si="22"/>
        <v>-87.540492902310802</v>
      </c>
      <c r="M69" s="61">
        <f t="shared" si="22"/>
        <v>-254.67530111088001</v>
      </c>
      <c r="N69" s="61">
        <f t="shared" si="22"/>
        <v>-275.26390408106431</v>
      </c>
    </row>
    <row r="70" spans="1:15" ht="11" thickBot="1">
      <c r="A70" s="5" t="s">
        <v>268</v>
      </c>
      <c r="C70" s="61"/>
      <c r="E70" s="61"/>
      <c r="F70" s="61"/>
      <c r="G70" s="61"/>
      <c r="H70" s="61"/>
      <c r="I70" s="61"/>
      <c r="J70" s="61"/>
      <c r="K70" s="61"/>
      <c r="L70" s="61"/>
      <c r="M70" s="61"/>
      <c r="N70" s="61"/>
    </row>
    <row r="71" spans="1:15" ht="11" thickBot="1">
      <c r="A71" s="108" t="s">
        <v>269</v>
      </c>
      <c r="C71" s="12">
        <f>SUM(C69:C70)</f>
        <v>4775</v>
      </c>
      <c r="E71" s="12">
        <f t="shared" ref="E71:N71" si="23">SUM(E69:E70)</f>
        <v>569</v>
      </c>
      <c r="F71" s="12">
        <f t="shared" si="23"/>
        <v>2200</v>
      </c>
      <c r="G71" s="12">
        <f t="shared" si="23"/>
        <v>2289</v>
      </c>
      <c r="H71" s="12">
        <f t="shared" si="23"/>
        <v>2205.1611742120967</v>
      </c>
      <c r="I71" s="12">
        <f t="shared" si="23"/>
        <v>101.94451444325898</v>
      </c>
      <c r="J71" s="12">
        <f t="shared" si="23"/>
        <v>29.648387092694406</v>
      </c>
      <c r="K71" s="12">
        <f t="shared" si="23"/>
        <v>895.42440088342664</v>
      </c>
      <c r="L71" s="12">
        <f t="shared" si="23"/>
        <v>-87.540492902310802</v>
      </c>
      <c r="M71" s="12">
        <f t="shared" si="23"/>
        <v>-254.67530111088001</v>
      </c>
      <c r="N71" s="12">
        <f t="shared" si="23"/>
        <v>-275.26390408106431</v>
      </c>
    </row>
    <row r="72" spans="1:15" ht="5.25" customHeight="1" thickBot="1">
      <c r="A72" s="5"/>
      <c r="C72" s="60"/>
      <c r="E72" s="60"/>
      <c r="F72" s="60"/>
      <c r="G72" s="60"/>
      <c r="H72" s="60"/>
      <c r="I72" s="60"/>
      <c r="J72" s="60"/>
      <c r="K72" s="60"/>
      <c r="L72" s="60"/>
      <c r="M72" s="60"/>
      <c r="N72" s="60"/>
    </row>
    <row r="73" spans="1:15" ht="11" thickBot="1">
      <c r="A73" s="108" t="s">
        <v>270</v>
      </c>
      <c r="C73" s="12">
        <f>C61+C66+C71</f>
        <v>-2504</v>
      </c>
      <c r="E73" s="12">
        <f t="shared" ref="E73:N73" si="24">E61+E66+E71</f>
        <v>0</v>
      </c>
      <c r="F73" s="12">
        <f t="shared" si="24"/>
        <v>0</v>
      </c>
      <c r="G73" s="12">
        <f t="shared" si="24"/>
        <v>0</v>
      </c>
      <c r="H73" s="12">
        <f t="shared" si="24"/>
        <v>0</v>
      </c>
      <c r="I73" s="12">
        <f t="shared" si="24"/>
        <v>-3.4106051316484809E-13</v>
      </c>
      <c r="J73" s="12">
        <f t="shared" si="24"/>
        <v>-1.0231815394945443E-12</v>
      </c>
      <c r="K73" s="12">
        <f t="shared" si="24"/>
        <v>0.17263504243101124</v>
      </c>
      <c r="L73" s="12">
        <f t="shared" si="24"/>
        <v>1.0772910455557394E-2</v>
      </c>
      <c r="M73" s="12">
        <f t="shared" si="24"/>
        <v>1.6978382709908146E-2</v>
      </c>
      <c r="N73" s="12">
        <f t="shared" si="24"/>
        <v>2.4288878702236616E-2</v>
      </c>
    </row>
    <row r="74" spans="1:15" ht="5.25" customHeight="1" thickBot="1">
      <c r="A74" s="5"/>
      <c r="C74" s="60"/>
      <c r="E74" s="60"/>
      <c r="F74" s="60"/>
      <c r="G74" s="60"/>
      <c r="H74" s="60"/>
      <c r="I74" s="60"/>
      <c r="J74" s="60"/>
      <c r="K74" s="60"/>
      <c r="L74" s="60"/>
      <c r="M74" s="60"/>
      <c r="N74" s="60"/>
    </row>
    <row r="75" spans="1:15" ht="11" thickBot="1">
      <c r="A75" s="108" t="s">
        <v>271</v>
      </c>
      <c r="C75" s="12">
        <f>C76-C73</f>
        <v>2670</v>
      </c>
      <c r="E75" s="12">
        <f>C76</f>
        <v>166</v>
      </c>
      <c r="F75" s="12">
        <f t="shared" ref="F75:N75" si="25">E76</f>
        <v>166</v>
      </c>
      <c r="G75" s="12">
        <f t="shared" si="25"/>
        <v>166</v>
      </c>
      <c r="H75" s="12">
        <f t="shared" si="25"/>
        <v>166</v>
      </c>
      <c r="I75" s="12">
        <f t="shared" si="25"/>
        <v>166</v>
      </c>
      <c r="J75" s="12">
        <f t="shared" si="25"/>
        <v>165.99999999999966</v>
      </c>
      <c r="K75" s="12">
        <f t="shared" si="25"/>
        <v>165.99999999999864</v>
      </c>
      <c r="L75" s="12">
        <f t="shared" si="25"/>
        <v>166.17263504242965</v>
      </c>
      <c r="M75" s="12">
        <f t="shared" si="25"/>
        <v>166.1834079528852</v>
      </c>
      <c r="N75" s="12">
        <f t="shared" si="25"/>
        <v>166.20038633559511</v>
      </c>
    </row>
    <row r="76" spans="1:15" ht="11" thickBot="1">
      <c r="A76" s="108" t="s">
        <v>272</v>
      </c>
      <c r="C76" s="12">
        <f>C80</f>
        <v>166</v>
      </c>
      <c r="E76" s="12">
        <f t="shared" ref="E76:N76" si="26">E73+E75</f>
        <v>166</v>
      </c>
      <c r="F76" s="12">
        <f t="shared" si="26"/>
        <v>166</v>
      </c>
      <c r="G76" s="12">
        <f t="shared" si="26"/>
        <v>166</v>
      </c>
      <c r="H76" s="12">
        <f t="shared" si="26"/>
        <v>166</v>
      </c>
      <c r="I76" s="12">
        <f t="shared" si="26"/>
        <v>165.99999999999966</v>
      </c>
      <c r="J76" s="12">
        <f t="shared" si="26"/>
        <v>165.99999999999864</v>
      </c>
      <c r="K76" s="12">
        <f t="shared" si="26"/>
        <v>166.17263504242965</v>
      </c>
      <c r="L76" s="12">
        <f t="shared" si="26"/>
        <v>166.1834079528852</v>
      </c>
      <c r="M76" s="12">
        <f t="shared" si="26"/>
        <v>166.20038633559511</v>
      </c>
      <c r="N76" s="12">
        <f t="shared" si="26"/>
        <v>166.22467521429735</v>
      </c>
    </row>
    <row r="77" spans="1:15" ht="11" thickBot="1"/>
    <row r="78" spans="1:15" ht="11" thickBot="1">
      <c r="A78" s="104" t="s">
        <v>273</v>
      </c>
      <c r="B78" s="91"/>
      <c r="C78" s="91" t="s">
        <v>29</v>
      </c>
      <c r="D78" s="91"/>
      <c r="E78" s="91" t="s">
        <v>19</v>
      </c>
      <c r="F78" s="91" t="s">
        <v>20</v>
      </c>
      <c r="G78" s="91" t="s">
        <v>21</v>
      </c>
      <c r="H78" s="91" t="s">
        <v>22</v>
      </c>
      <c r="I78" s="91" t="s">
        <v>23</v>
      </c>
      <c r="J78" s="91" t="s">
        <v>24</v>
      </c>
      <c r="K78" s="91" t="s">
        <v>25</v>
      </c>
      <c r="L78" s="91" t="s">
        <v>26</v>
      </c>
      <c r="M78" s="91" t="s">
        <v>27</v>
      </c>
      <c r="N78" s="91" t="s">
        <v>28</v>
      </c>
      <c r="O78" s="105"/>
    </row>
    <row r="79" spans="1:15" ht="11" thickBot="1">
      <c r="A79" s="106" t="s">
        <v>274</v>
      </c>
      <c r="C79" s="4"/>
      <c r="E79" s="4"/>
      <c r="F79" s="4"/>
      <c r="G79" s="4"/>
      <c r="H79" s="4"/>
      <c r="I79" s="4"/>
      <c r="J79" s="4"/>
      <c r="K79" s="4"/>
      <c r="L79" s="4"/>
      <c r="M79" s="4"/>
      <c r="N79" s="4"/>
      <c r="O79" s="105"/>
    </row>
    <row r="80" spans="1:15" ht="11" thickBot="1">
      <c r="A80" s="5" t="s">
        <v>275</v>
      </c>
      <c r="C80" s="61">
        <f>Input!$D$9</f>
        <v>166</v>
      </c>
      <c r="E80" s="61">
        <f t="shared" ref="E80:N80" si="27">E76</f>
        <v>166</v>
      </c>
      <c r="F80" s="61">
        <f t="shared" si="27"/>
        <v>166</v>
      </c>
      <c r="G80" s="61">
        <f t="shared" si="27"/>
        <v>166</v>
      </c>
      <c r="H80" s="61">
        <f t="shared" si="27"/>
        <v>166</v>
      </c>
      <c r="I80" s="61">
        <f t="shared" si="27"/>
        <v>165.99999999999966</v>
      </c>
      <c r="J80" s="61">
        <f t="shared" si="27"/>
        <v>165.99999999999864</v>
      </c>
      <c r="K80" s="61">
        <f t="shared" si="27"/>
        <v>166.17263504242965</v>
      </c>
      <c r="L80" s="61">
        <f t="shared" si="27"/>
        <v>166.1834079528852</v>
      </c>
      <c r="M80" s="61">
        <f t="shared" si="27"/>
        <v>166.20038633559511</v>
      </c>
      <c r="N80" s="61">
        <f t="shared" si="27"/>
        <v>166.22467521429735</v>
      </c>
    </row>
    <row r="81" spans="1:15" ht="11" thickBot="1">
      <c r="A81" s="5" t="s">
        <v>276</v>
      </c>
      <c r="C81" s="61"/>
      <c r="E81" s="61"/>
      <c r="F81" s="61"/>
      <c r="G81" s="61"/>
      <c r="H81" s="61"/>
      <c r="I81" s="61"/>
      <c r="J81" s="61"/>
      <c r="K81" s="61"/>
      <c r="L81" s="61"/>
      <c r="M81" s="61"/>
      <c r="N81" s="61"/>
    </row>
    <row r="82" spans="1:15" ht="11" thickBot="1">
      <c r="A82" s="5" t="s">
        <v>277</v>
      </c>
      <c r="C82" s="61">
        <f>Input!$D$7-Input!$D$8</f>
        <v>34824</v>
      </c>
      <c r="E82" s="61">
        <f>$C$82-E$47+SUM(E$28:E$30)+E$52</f>
        <v>36606</v>
      </c>
      <c r="F82" s="61">
        <f t="shared" ref="F82:N82" si="28">E$82-F$47+SUM(F$28:F$30)+F$52</f>
        <v>41433.849296</v>
      </c>
      <c r="G82" s="61">
        <f t="shared" si="28"/>
        <v>44665.849296</v>
      </c>
      <c r="H82" s="61">
        <f t="shared" si="28"/>
        <v>49751.275421081591</v>
      </c>
      <c r="I82" s="61">
        <f t="shared" si="28"/>
        <v>51086.275421081591</v>
      </c>
      <c r="J82" s="61">
        <f t="shared" si="28"/>
        <v>55094.580936555743</v>
      </c>
      <c r="K82" s="61">
        <f t="shared" si="28"/>
        <v>57551.716706959123</v>
      </c>
      <c r="L82" s="61">
        <f t="shared" si="28"/>
        <v>61762.151859070451</v>
      </c>
      <c r="M82" s="61">
        <f t="shared" si="28"/>
        <v>63039.138013293363</v>
      </c>
      <c r="N82" s="61">
        <f t="shared" si="28"/>
        <v>67330.687310614449</v>
      </c>
    </row>
    <row r="83" spans="1:15" ht="11" thickBot="1">
      <c r="A83" s="5" t="s">
        <v>278</v>
      </c>
      <c r="C83" s="61"/>
      <c r="E83" s="61">
        <f>C83-E64</f>
        <v>0</v>
      </c>
      <c r="F83" s="61">
        <f>E83-F64</f>
        <v>0</v>
      </c>
      <c r="G83" s="61">
        <f t="shared" ref="G83:N83" si="29">F83-G64</f>
        <v>0</v>
      </c>
      <c r="H83" s="61">
        <f t="shared" si="29"/>
        <v>622.87305001225127</v>
      </c>
      <c r="I83" s="61">
        <f t="shared" si="29"/>
        <v>622.87305001225127</v>
      </c>
      <c r="J83" s="61">
        <f t="shared" si="29"/>
        <v>622.87305001225127</v>
      </c>
      <c r="K83" s="61">
        <f t="shared" si="29"/>
        <v>622.87305001225127</v>
      </c>
      <c r="L83" s="61">
        <f t="shared" si="29"/>
        <v>622.87305001225127</v>
      </c>
      <c r="M83" s="61">
        <f t="shared" si="29"/>
        <v>622.87305001225127</v>
      </c>
      <c r="N83" s="61">
        <f t="shared" si="29"/>
        <v>622.87305001225127</v>
      </c>
    </row>
    <row r="84" spans="1:15" ht="11" thickBot="1">
      <c r="A84" s="108" t="s">
        <v>279</v>
      </c>
      <c r="C84" s="12">
        <f>SUM(C80:C83)</f>
        <v>34990</v>
      </c>
      <c r="E84" s="12">
        <f t="shared" ref="E84:N84" si="30">SUM(E80:E83)</f>
        <v>36772</v>
      </c>
      <c r="F84" s="12">
        <f t="shared" si="30"/>
        <v>41599.849296</v>
      </c>
      <c r="G84" s="12">
        <f t="shared" si="30"/>
        <v>44831.849296</v>
      </c>
      <c r="H84" s="12">
        <f t="shared" si="30"/>
        <v>50540.148471093846</v>
      </c>
      <c r="I84" s="12">
        <f t="shared" si="30"/>
        <v>51875.148471093846</v>
      </c>
      <c r="J84" s="12">
        <f t="shared" si="30"/>
        <v>55883.453986567998</v>
      </c>
      <c r="K84" s="12">
        <f t="shared" si="30"/>
        <v>58340.762392013807</v>
      </c>
      <c r="L84" s="12">
        <f t="shared" si="30"/>
        <v>62551.208317035591</v>
      </c>
      <c r="M84" s="12">
        <f t="shared" si="30"/>
        <v>63828.21144964121</v>
      </c>
      <c r="N84" s="12">
        <f t="shared" si="30"/>
        <v>68119.785035840992</v>
      </c>
    </row>
    <row r="85" spans="1:15" ht="5.25" customHeight="1" thickBot="1">
      <c r="A85" s="5"/>
      <c r="C85" s="60"/>
      <c r="E85" s="60"/>
      <c r="F85" s="60"/>
      <c r="G85" s="60"/>
      <c r="H85" s="60"/>
      <c r="I85" s="60"/>
      <c r="J85" s="60"/>
      <c r="K85" s="60"/>
      <c r="L85" s="60"/>
      <c r="M85" s="60"/>
      <c r="N85" s="60"/>
    </row>
    <row r="86" spans="1:15" ht="11" thickBot="1">
      <c r="A86" s="106" t="s">
        <v>280</v>
      </c>
      <c r="C86" s="4"/>
      <c r="E86" s="4"/>
      <c r="F86" s="4"/>
      <c r="G86" s="4"/>
      <c r="H86" s="4"/>
      <c r="I86" s="4"/>
      <c r="J86" s="4"/>
      <c r="K86" s="4"/>
      <c r="L86" s="4"/>
      <c r="M86" s="4"/>
      <c r="N86" s="4"/>
      <c r="O86" s="105"/>
    </row>
    <row r="87" spans="1:15" ht="11" thickBot="1">
      <c r="A87" s="5" t="s">
        <v>281</v>
      </c>
      <c r="C87" s="61"/>
      <c r="E87" s="61"/>
      <c r="F87" s="61"/>
      <c r="G87" s="61"/>
      <c r="H87" s="61"/>
      <c r="I87" s="61"/>
      <c r="J87" s="61"/>
      <c r="K87" s="61"/>
      <c r="L87" s="61"/>
      <c r="M87" s="61"/>
      <c r="N87" s="61"/>
    </row>
    <row r="88" spans="1:15" ht="11" thickBot="1">
      <c r="A88" s="5" t="s">
        <v>282</v>
      </c>
      <c r="C88" s="61"/>
      <c r="E88" s="61"/>
      <c r="F88" s="61"/>
      <c r="G88" s="61"/>
      <c r="H88" s="61"/>
      <c r="I88" s="61"/>
      <c r="J88" s="61"/>
      <c r="K88" s="61"/>
      <c r="L88" s="61"/>
      <c r="M88" s="61"/>
      <c r="N88" s="61"/>
    </row>
    <row r="89" spans="1:15" ht="11" thickBot="1">
      <c r="A89" s="5" t="s">
        <v>283</v>
      </c>
      <c r="C89" s="61">
        <f>Input!$D$10-C$87</f>
        <v>22504</v>
      </c>
      <c r="E89" s="61">
        <f>$C$89+E69+E70</f>
        <v>23073</v>
      </c>
      <c r="F89" s="61">
        <f t="shared" ref="F89:N89" si="31">E$89+F69+F70</f>
        <v>25273</v>
      </c>
      <c r="G89" s="61">
        <f t="shared" si="31"/>
        <v>27562</v>
      </c>
      <c r="H89" s="61">
        <f t="shared" si="31"/>
        <v>29767.161174212095</v>
      </c>
      <c r="I89" s="61">
        <f t="shared" si="31"/>
        <v>29869.105688655352</v>
      </c>
      <c r="J89" s="61">
        <f t="shared" si="31"/>
        <v>29898.754075748046</v>
      </c>
      <c r="K89" s="61">
        <f t="shared" si="31"/>
        <v>30794.178476631474</v>
      </c>
      <c r="L89" s="61">
        <f t="shared" si="31"/>
        <v>30706.637983729164</v>
      </c>
      <c r="M89" s="61">
        <f t="shared" si="31"/>
        <v>30451.962682618283</v>
      </c>
      <c r="N89" s="61">
        <f t="shared" si="31"/>
        <v>30176.698778537218</v>
      </c>
    </row>
    <row r="90" spans="1:15" ht="11" thickBot="1">
      <c r="A90" s="5" t="s">
        <v>284</v>
      </c>
      <c r="C90" s="61"/>
      <c r="E90" s="61"/>
      <c r="F90" s="61"/>
      <c r="G90" s="61"/>
      <c r="H90" s="61"/>
      <c r="I90" s="61"/>
      <c r="J90" s="61"/>
      <c r="K90" s="61"/>
      <c r="L90" s="61"/>
      <c r="M90" s="61"/>
      <c r="N90" s="61"/>
    </row>
    <row r="91" spans="1:15" ht="11" thickBot="1">
      <c r="A91" s="108" t="s">
        <v>285</v>
      </c>
      <c r="C91" s="12">
        <f>SUM(C87:C90)</f>
        <v>22504</v>
      </c>
      <c r="E91" s="12">
        <f t="shared" ref="E91:N91" si="32">SUM(E87:E90)</f>
        <v>23073</v>
      </c>
      <c r="F91" s="12">
        <f t="shared" si="32"/>
        <v>25273</v>
      </c>
      <c r="G91" s="12">
        <f t="shared" si="32"/>
        <v>27562</v>
      </c>
      <c r="H91" s="12">
        <f t="shared" si="32"/>
        <v>29767.161174212095</v>
      </c>
      <c r="I91" s="12">
        <f t="shared" si="32"/>
        <v>29869.105688655352</v>
      </c>
      <c r="J91" s="12">
        <f t="shared" si="32"/>
        <v>29898.754075748046</v>
      </c>
      <c r="K91" s="12">
        <f t="shared" si="32"/>
        <v>30794.178476631474</v>
      </c>
      <c r="L91" s="12">
        <f t="shared" si="32"/>
        <v>30706.637983729164</v>
      </c>
      <c r="M91" s="12">
        <f t="shared" si="32"/>
        <v>30451.962682618283</v>
      </c>
      <c r="N91" s="12">
        <f t="shared" si="32"/>
        <v>30176.698778537218</v>
      </c>
    </row>
    <row r="92" spans="1:15" ht="5.25" customHeight="1" thickBot="1">
      <c r="A92" s="5"/>
      <c r="C92" s="61"/>
      <c r="E92" s="61"/>
      <c r="F92" s="60"/>
      <c r="G92" s="60"/>
      <c r="H92" s="60"/>
      <c r="I92" s="60"/>
      <c r="J92" s="60"/>
      <c r="K92" s="60"/>
      <c r="L92" s="60"/>
      <c r="M92" s="60"/>
      <c r="N92" s="60"/>
    </row>
    <row r="93" spans="1:15" ht="11" thickBot="1">
      <c r="A93" s="108" t="s">
        <v>286</v>
      </c>
      <c r="C93" s="12">
        <f>C84-C91</f>
        <v>12486</v>
      </c>
      <c r="E93" s="12">
        <f t="shared" ref="E93:N93" si="33">E84-E91</f>
        <v>13699</v>
      </c>
      <c r="F93" s="12">
        <f t="shared" si="33"/>
        <v>16326.849296</v>
      </c>
      <c r="G93" s="12">
        <f t="shared" si="33"/>
        <v>17269.849296</v>
      </c>
      <c r="H93" s="12">
        <f t="shared" si="33"/>
        <v>20772.987296881751</v>
      </c>
      <c r="I93" s="12">
        <f t="shared" si="33"/>
        <v>22006.042782438493</v>
      </c>
      <c r="J93" s="12">
        <f t="shared" si="33"/>
        <v>25984.699910819952</v>
      </c>
      <c r="K93" s="12">
        <f t="shared" si="33"/>
        <v>27546.583915382333</v>
      </c>
      <c r="L93" s="12">
        <f t="shared" si="33"/>
        <v>31844.570333306427</v>
      </c>
      <c r="M93" s="12">
        <f t="shared" si="33"/>
        <v>33376.248767022931</v>
      </c>
      <c r="N93" s="12">
        <f t="shared" si="33"/>
        <v>37943.086257303774</v>
      </c>
    </row>
    <row r="94" spans="1:15" ht="5.25" customHeight="1" thickBot="1">
      <c r="A94" s="5"/>
      <c r="C94" s="60"/>
      <c r="E94" s="60"/>
      <c r="F94" s="60"/>
      <c r="G94" s="60"/>
      <c r="H94" s="60"/>
      <c r="I94" s="60"/>
      <c r="J94" s="60"/>
      <c r="K94" s="60"/>
      <c r="L94" s="60"/>
      <c r="M94" s="60"/>
      <c r="N94" s="60"/>
    </row>
    <row r="95" spans="1:15" ht="11" thickBot="1">
      <c r="A95" s="106" t="s">
        <v>287</v>
      </c>
      <c r="C95" s="4"/>
      <c r="E95" s="4"/>
      <c r="F95" s="4"/>
      <c r="G95" s="4"/>
      <c r="H95" s="4"/>
      <c r="I95" s="4"/>
      <c r="J95" s="4"/>
      <c r="K95" s="4"/>
      <c r="L95" s="4"/>
      <c r="M95" s="4"/>
      <c r="N95" s="4"/>
      <c r="O95" s="105"/>
    </row>
    <row r="96" spans="1:15" ht="11" thickBot="1">
      <c r="A96" s="5" t="s">
        <v>288</v>
      </c>
      <c r="C96" s="61">
        <f>Input!$D$12</f>
        <v>0</v>
      </c>
      <c r="E96" s="61">
        <f>$C$96+E$52</f>
        <v>0</v>
      </c>
      <c r="F96" s="61">
        <f t="shared" ref="F96:N96" si="34">E$96+F$52</f>
        <v>1852.8492959999999</v>
      </c>
      <c r="G96" s="61">
        <f t="shared" si="34"/>
        <v>1852.8492959999999</v>
      </c>
      <c r="H96" s="61">
        <f t="shared" si="34"/>
        <v>4068.2754210815938</v>
      </c>
      <c r="I96" s="61">
        <f t="shared" si="34"/>
        <v>4068.2754210815938</v>
      </c>
      <c r="J96" s="61">
        <f t="shared" si="34"/>
        <v>6602.154681967234</v>
      </c>
      <c r="K96" s="61">
        <f t="shared" si="34"/>
        <v>6602.154681967234</v>
      </c>
      <c r="L96" s="61">
        <f t="shared" si="34"/>
        <v>9397.7952586442989</v>
      </c>
      <c r="M96" s="61">
        <f t="shared" si="34"/>
        <v>9397.7952586442989</v>
      </c>
      <c r="N96" s="61">
        <f t="shared" si="34"/>
        <v>12459.994160744673</v>
      </c>
    </row>
    <row r="97" spans="1:14" ht="11" thickBot="1">
      <c r="A97" s="5" t="s">
        <v>289</v>
      </c>
      <c r="C97" s="61">
        <f>$C$93-$C$96</f>
        <v>12486</v>
      </c>
      <c r="E97" s="61">
        <f>$C$97+E$50</f>
        <v>13699</v>
      </c>
      <c r="F97" s="61">
        <f t="shared" ref="F97:N97" si="35">E$97+F$50</f>
        <v>14474</v>
      </c>
      <c r="G97" s="61">
        <f t="shared" si="35"/>
        <v>15417</v>
      </c>
      <c r="H97" s="61">
        <f t="shared" si="35"/>
        <v>16704.711875800152</v>
      </c>
      <c r="I97" s="61">
        <f t="shared" si="35"/>
        <v>17937.767361356891</v>
      </c>
      <c r="J97" s="61">
        <f t="shared" si="35"/>
        <v>19382.545228852709</v>
      </c>
      <c r="K97" s="61">
        <f t="shared" si="35"/>
        <v>20944.429233415096</v>
      </c>
      <c r="L97" s="61">
        <f t="shared" si="35"/>
        <v>22446.775074662128</v>
      </c>
      <c r="M97" s="61">
        <f t="shared" si="35"/>
        <v>23978.453508378629</v>
      </c>
      <c r="N97" s="61">
        <f t="shared" si="35"/>
        <v>25483.092096559114</v>
      </c>
    </row>
    <row r="98" spans="1:14" ht="11" thickBot="1">
      <c r="A98" s="108" t="s">
        <v>290</v>
      </c>
      <c r="C98" s="12">
        <f>SUM(C96:C97)</f>
        <v>12486</v>
      </c>
      <c r="E98" s="12">
        <f t="shared" ref="E98:N98" si="36">SUM(E96:E97)</f>
        <v>13699</v>
      </c>
      <c r="F98" s="12">
        <f t="shared" si="36"/>
        <v>16326.849296</v>
      </c>
      <c r="G98" s="12">
        <f t="shared" si="36"/>
        <v>17269.849296</v>
      </c>
      <c r="H98" s="12">
        <f t="shared" si="36"/>
        <v>20772.987296881747</v>
      </c>
      <c r="I98" s="12">
        <f t="shared" si="36"/>
        <v>22006.042782438486</v>
      </c>
      <c r="J98" s="12">
        <f t="shared" si="36"/>
        <v>25984.699910819942</v>
      </c>
      <c r="K98" s="12">
        <f t="shared" si="36"/>
        <v>27546.583915382329</v>
      </c>
      <c r="L98" s="12">
        <f t="shared" si="36"/>
        <v>31844.570333306427</v>
      </c>
      <c r="M98" s="12">
        <f t="shared" si="36"/>
        <v>33376.248767022931</v>
      </c>
      <c r="N98" s="12">
        <f t="shared" si="36"/>
        <v>37943.086257303788</v>
      </c>
    </row>
  </sheetData>
  <pageMargins left="0.7" right="0.7" top="0.75" bottom="0.75" header="0.3" footer="0.3"/>
  <pageSetup paperSize="8" scale="8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9F682-3EF5-4E0C-B8A2-FCCFFD6E287D}">
  <sheetPr codeName="Sheet32">
    <pageSetUpPr fitToPage="1"/>
  </sheetPr>
  <dimension ref="A1:P98"/>
  <sheetViews>
    <sheetView workbookViewId="0">
      <selection activeCell="A122" sqref="A122"/>
    </sheetView>
  </sheetViews>
  <sheetFormatPr defaultColWidth="6.6328125" defaultRowHeight="10.5"/>
  <cols>
    <col min="1" max="1" width="67.6328125" style="1" customWidth="1"/>
    <col min="2" max="2" width="1.54296875" style="1" customWidth="1"/>
    <col min="3" max="3" width="12.7265625" style="1" customWidth="1"/>
    <col min="4" max="4" width="1.90625" style="1" customWidth="1"/>
    <col min="5" max="14" width="12.7265625" style="1" customWidth="1"/>
    <col min="15" max="16" width="9.54296875" style="1" customWidth="1"/>
    <col min="17" max="17" width="6.6328125" style="1"/>
    <col min="18" max="19" width="9.54296875" style="1" customWidth="1"/>
    <col min="20" max="16384" width="6.6328125" style="1"/>
  </cols>
  <sheetData>
    <row r="1" spans="1:16" ht="11" thickBot="1">
      <c r="A1" s="104" t="s">
        <v>220</v>
      </c>
      <c r="B1" s="91"/>
      <c r="C1" s="91" t="s">
        <v>29</v>
      </c>
      <c r="D1" s="91"/>
      <c r="E1" s="91" t="s">
        <v>19</v>
      </c>
      <c r="F1" s="91" t="s">
        <v>20</v>
      </c>
      <c r="G1" s="91" t="s">
        <v>21</v>
      </c>
      <c r="H1" s="91" t="s">
        <v>22</v>
      </c>
      <c r="I1" s="91" t="s">
        <v>23</v>
      </c>
      <c r="J1" s="91" t="s">
        <v>24</v>
      </c>
      <c r="K1" s="91" t="s">
        <v>25</v>
      </c>
      <c r="L1" s="91" t="s">
        <v>26</v>
      </c>
      <c r="M1" s="91" t="s">
        <v>27</v>
      </c>
      <c r="N1" s="91" t="s">
        <v>28</v>
      </c>
      <c r="O1" s="105"/>
      <c r="P1" s="91" t="s">
        <v>159</v>
      </c>
    </row>
    <row r="2" spans="1:16" ht="11" thickBot="1">
      <c r="A2" s="106" t="s">
        <v>221</v>
      </c>
      <c r="C2" s="4"/>
      <c r="E2" s="4"/>
      <c r="F2" s="4"/>
      <c r="G2" s="4"/>
      <c r="H2" s="4"/>
      <c r="I2" s="4"/>
      <c r="J2" s="4"/>
      <c r="K2" s="4"/>
      <c r="L2" s="4"/>
      <c r="M2" s="4"/>
      <c r="N2" s="4"/>
      <c r="O2" s="105"/>
      <c r="P2" s="4"/>
    </row>
    <row r="3" spans="1:16" ht="11" thickBot="1">
      <c r="A3" s="5" t="s">
        <v>222</v>
      </c>
      <c r="C3" s="112">
        <v>31</v>
      </c>
      <c r="E3" s="112">
        <v>32</v>
      </c>
      <c r="F3" s="112">
        <v>39</v>
      </c>
      <c r="G3" s="112">
        <v>45</v>
      </c>
      <c r="H3" s="112">
        <v>49</v>
      </c>
      <c r="I3" s="112">
        <v>49</v>
      </c>
      <c r="J3" s="112">
        <v>50</v>
      </c>
      <c r="K3" s="112">
        <v>52</v>
      </c>
      <c r="L3" s="112">
        <v>52</v>
      </c>
      <c r="M3" s="112">
        <v>53</v>
      </c>
      <c r="N3" s="112">
        <v>55</v>
      </c>
      <c r="P3" s="107">
        <f>SUM(E3:N3)</f>
        <v>476</v>
      </c>
    </row>
    <row r="4" spans="1:16" ht="11" thickBot="1">
      <c r="A4" s="5" t="s">
        <v>223</v>
      </c>
      <c r="C4" s="112">
        <v>280</v>
      </c>
      <c r="E4" s="112">
        <v>288</v>
      </c>
      <c r="F4" s="112">
        <v>353</v>
      </c>
      <c r="G4" s="112">
        <v>407</v>
      </c>
      <c r="H4" s="112">
        <v>231.17244532015727</v>
      </c>
      <c r="I4" s="112">
        <v>255.50300182620532</v>
      </c>
      <c r="J4" s="112">
        <v>239.01853513197662</v>
      </c>
      <c r="K4" s="112">
        <v>268.28980683101889</v>
      </c>
      <c r="L4" s="112">
        <v>295.21187066997425</v>
      </c>
      <c r="M4" s="112">
        <v>323.55608620077498</v>
      </c>
      <c r="N4" s="112">
        <v>349.95259545515</v>
      </c>
      <c r="P4" s="107">
        <f>SUM(E4:N4)</f>
        <v>3010.7043414352574</v>
      </c>
    </row>
    <row r="5" spans="1:16" ht="11" thickBot="1">
      <c r="A5" s="5" t="s">
        <v>224</v>
      </c>
      <c r="C5" s="112">
        <v>0</v>
      </c>
      <c r="E5" s="112">
        <v>0</v>
      </c>
      <c r="F5" s="112">
        <v>0</v>
      </c>
      <c r="G5" s="112">
        <v>0</v>
      </c>
      <c r="H5" s="112">
        <v>0</v>
      </c>
      <c r="I5" s="112">
        <v>0</v>
      </c>
      <c r="J5" s="112">
        <v>0</v>
      </c>
      <c r="K5" s="112">
        <v>0</v>
      </c>
      <c r="L5" s="112">
        <v>0</v>
      </c>
      <c r="M5" s="112">
        <v>0</v>
      </c>
      <c r="N5" s="112">
        <v>0</v>
      </c>
      <c r="P5" s="107">
        <f>SUM(E5:N5)</f>
        <v>0</v>
      </c>
    </row>
    <row r="6" spans="1:16" ht="11" thickBot="1">
      <c r="A6" s="5" t="s">
        <v>225</v>
      </c>
      <c r="C6" s="112">
        <v>0</v>
      </c>
      <c r="E6" s="112">
        <v>0</v>
      </c>
      <c r="F6" s="112">
        <v>0</v>
      </c>
      <c r="G6" s="112">
        <v>0</v>
      </c>
      <c r="H6" s="112">
        <v>0</v>
      </c>
      <c r="I6" s="112">
        <v>0</v>
      </c>
      <c r="J6" s="112">
        <v>0</v>
      </c>
      <c r="K6" s="112">
        <v>0</v>
      </c>
      <c r="L6" s="112">
        <v>0</v>
      </c>
      <c r="M6" s="112">
        <v>0</v>
      </c>
      <c r="N6" s="112">
        <v>0</v>
      </c>
      <c r="P6" s="107">
        <f>SUM(E6:N6)</f>
        <v>0</v>
      </c>
    </row>
    <row r="7" spans="1:16" ht="11" thickBot="1">
      <c r="A7" s="5" t="s">
        <v>226</v>
      </c>
      <c r="C7" s="112">
        <v>0</v>
      </c>
      <c r="E7" s="112">
        <v>0</v>
      </c>
      <c r="F7" s="112">
        <v>0</v>
      </c>
      <c r="G7" s="112">
        <v>0</v>
      </c>
      <c r="H7" s="112">
        <v>0</v>
      </c>
      <c r="I7" s="112">
        <v>0</v>
      </c>
      <c r="J7" s="112">
        <v>0</v>
      </c>
      <c r="K7" s="112">
        <v>0</v>
      </c>
      <c r="L7" s="112">
        <v>0</v>
      </c>
      <c r="M7" s="112">
        <v>0</v>
      </c>
      <c r="N7" s="112">
        <v>0</v>
      </c>
      <c r="P7" s="107">
        <f>SUM(E7:N7)</f>
        <v>0</v>
      </c>
    </row>
    <row r="8" spans="1:16" ht="11" thickBot="1">
      <c r="A8" s="108" t="s">
        <v>227</v>
      </c>
      <c r="C8" s="12">
        <f>SUM(C3:C7)</f>
        <v>311</v>
      </c>
      <c r="E8" s="12">
        <f t="shared" ref="E8:N8" si="0">SUM(E3:E7)</f>
        <v>320</v>
      </c>
      <c r="F8" s="12">
        <f t="shared" si="0"/>
        <v>392</v>
      </c>
      <c r="G8" s="12">
        <f t="shared" si="0"/>
        <v>452</v>
      </c>
      <c r="H8" s="12">
        <f t="shared" si="0"/>
        <v>280.17244532015729</v>
      </c>
      <c r="I8" s="12">
        <f t="shared" si="0"/>
        <v>304.50300182620532</v>
      </c>
      <c r="J8" s="12">
        <f t="shared" si="0"/>
        <v>289.01853513197659</v>
      </c>
      <c r="K8" s="12">
        <f t="shared" si="0"/>
        <v>320.28980683101889</v>
      </c>
      <c r="L8" s="12">
        <f t="shared" si="0"/>
        <v>347.21187066997425</v>
      </c>
      <c r="M8" s="12">
        <f t="shared" si="0"/>
        <v>376.55608620077498</v>
      </c>
      <c r="N8" s="12">
        <f t="shared" si="0"/>
        <v>404.95259545515</v>
      </c>
      <c r="P8" s="12">
        <f>SUM(P3:P7)</f>
        <v>3486.7043414352574</v>
      </c>
    </row>
    <row r="9" spans="1:16" ht="5.25" customHeight="1" thickBot="1">
      <c r="A9" s="76"/>
      <c r="E9" s="109"/>
      <c r="F9" s="109"/>
      <c r="G9" s="109"/>
      <c r="H9" s="109"/>
      <c r="I9" s="109"/>
      <c r="J9" s="109"/>
      <c r="K9" s="109"/>
      <c r="L9" s="109"/>
      <c r="M9" s="109"/>
      <c r="N9" s="109"/>
    </row>
    <row r="10" spans="1:16" ht="11" thickBot="1">
      <c r="A10" s="106" t="s">
        <v>228</v>
      </c>
      <c r="C10" s="4"/>
      <c r="E10" s="4"/>
      <c r="F10" s="4"/>
      <c r="G10" s="4"/>
      <c r="H10" s="4"/>
      <c r="I10" s="4"/>
      <c r="J10" s="4"/>
      <c r="K10" s="4"/>
      <c r="L10" s="4"/>
      <c r="M10" s="4"/>
      <c r="N10" s="4"/>
      <c r="O10" s="105"/>
      <c r="P10" s="4"/>
    </row>
    <row r="11" spans="1:16" ht="11" thickBot="1">
      <c r="A11" s="5" t="s">
        <v>229</v>
      </c>
      <c r="C11" s="112">
        <v>145</v>
      </c>
      <c r="E11" s="112">
        <v>116</v>
      </c>
      <c r="F11" s="112">
        <v>120</v>
      </c>
      <c r="G11" s="112">
        <v>124</v>
      </c>
      <c r="H11" s="112">
        <v>138.17917603487018</v>
      </c>
      <c r="I11" s="112">
        <v>141.43365543574194</v>
      </c>
      <c r="J11" s="112">
        <v>145.39440740019816</v>
      </c>
      <c r="K11" s="112">
        <v>148.0429941267077</v>
      </c>
      <c r="L11" s="112">
        <v>151.40616766358576</v>
      </c>
      <c r="M11" s="112">
        <v>152.71129938875512</v>
      </c>
      <c r="N11" s="112">
        <v>155.99486367045074</v>
      </c>
      <c r="P11" s="107">
        <f>SUM(E11:N11)</f>
        <v>1393.1625637203097</v>
      </c>
    </row>
    <row r="12" spans="1:16" ht="11" thickBot="1">
      <c r="A12" s="5" t="s">
        <v>230</v>
      </c>
      <c r="C12" s="112">
        <v>2</v>
      </c>
      <c r="E12" s="112">
        <v>21</v>
      </c>
      <c r="F12" s="112">
        <v>25</v>
      </c>
      <c r="G12" s="112">
        <v>25</v>
      </c>
      <c r="H12" s="112">
        <v>84.874004185901697</v>
      </c>
      <c r="I12" s="112">
        <v>104.86972141585903</v>
      </c>
      <c r="J12" s="112">
        <v>125.32343292693153</v>
      </c>
      <c r="K12" s="112">
        <v>148.12065904444947</v>
      </c>
      <c r="L12" s="112">
        <v>165.31675391370277</v>
      </c>
      <c r="M12" s="112">
        <v>185.44106437266419</v>
      </c>
      <c r="N12" s="112">
        <v>206.01582304648721</v>
      </c>
      <c r="P12" s="107">
        <f>SUM(E12:N12)</f>
        <v>1090.9614589059959</v>
      </c>
    </row>
    <row r="13" spans="1:16" ht="11" thickBot="1">
      <c r="A13" s="5" t="s">
        <v>231</v>
      </c>
      <c r="C13" s="112">
        <v>106</v>
      </c>
      <c r="E13" s="112">
        <v>85</v>
      </c>
      <c r="F13" s="112">
        <v>89</v>
      </c>
      <c r="G13" s="112">
        <v>92</v>
      </c>
      <c r="H13" s="112">
        <v>92</v>
      </c>
      <c r="I13" s="112">
        <v>95</v>
      </c>
      <c r="J13" s="112">
        <v>98</v>
      </c>
      <c r="K13" s="112">
        <v>99</v>
      </c>
      <c r="L13" s="112">
        <v>101</v>
      </c>
      <c r="M13" s="112">
        <v>105</v>
      </c>
      <c r="N13" s="112">
        <v>106</v>
      </c>
      <c r="P13" s="107">
        <f>SUM(E13:N13)</f>
        <v>962</v>
      </c>
    </row>
    <row r="14" spans="1:16" ht="11" thickBot="1">
      <c r="A14" s="5" t="s">
        <v>232</v>
      </c>
      <c r="C14" s="112">
        <v>0</v>
      </c>
      <c r="E14" s="112">
        <v>0</v>
      </c>
      <c r="F14" s="112">
        <v>0</v>
      </c>
      <c r="G14" s="112">
        <v>0</v>
      </c>
      <c r="H14" s="112">
        <v>0</v>
      </c>
      <c r="I14" s="112">
        <v>0</v>
      </c>
      <c r="J14" s="112">
        <v>0</v>
      </c>
      <c r="K14" s="112">
        <v>0</v>
      </c>
      <c r="L14" s="112">
        <v>0</v>
      </c>
      <c r="M14" s="112">
        <v>0</v>
      </c>
      <c r="N14" s="112">
        <v>0</v>
      </c>
      <c r="P14" s="107">
        <f>SUM(E14:N14)</f>
        <v>0</v>
      </c>
    </row>
    <row r="15" spans="1:16" ht="11" thickBot="1">
      <c r="A15" s="108" t="s">
        <v>233</v>
      </c>
      <c r="C15" s="12">
        <f>SUM(C11:C14)</f>
        <v>253</v>
      </c>
      <c r="E15" s="12">
        <f t="shared" ref="E15:N15" si="1">SUM(E11:E14)</f>
        <v>222</v>
      </c>
      <c r="F15" s="12">
        <f t="shared" si="1"/>
        <v>234</v>
      </c>
      <c r="G15" s="12">
        <f t="shared" si="1"/>
        <v>241</v>
      </c>
      <c r="H15" s="12">
        <f t="shared" si="1"/>
        <v>315.05318022077188</v>
      </c>
      <c r="I15" s="12">
        <f t="shared" si="1"/>
        <v>341.303376851601</v>
      </c>
      <c r="J15" s="12">
        <f t="shared" si="1"/>
        <v>368.71784032712969</v>
      </c>
      <c r="K15" s="12">
        <f t="shared" si="1"/>
        <v>395.16365317115719</v>
      </c>
      <c r="L15" s="12">
        <f t="shared" si="1"/>
        <v>417.7229215772885</v>
      </c>
      <c r="M15" s="12">
        <f t="shared" si="1"/>
        <v>443.15236376141934</v>
      </c>
      <c r="N15" s="12">
        <f t="shared" si="1"/>
        <v>468.01068671693793</v>
      </c>
      <c r="P15" s="12">
        <f>SUM(P11:P14)</f>
        <v>3446.1240226263053</v>
      </c>
    </row>
    <row r="16" spans="1:16" ht="5.25" customHeight="1" thickBot="1">
      <c r="A16" s="110"/>
    </row>
    <row r="17" spans="1:16" ht="11" thickBot="1">
      <c r="A17" s="108" t="s">
        <v>234</v>
      </c>
      <c r="C17" s="12">
        <f>C8-C15</f>
        <v>58</v>
      </c>
      <c r="E17" s="12">
        <f t="shared" ref="E17:N17" si="2">E8-E15</f>
        <v>98</v>
      </c>
      <c r="F17" s="12">
        <f t="shared" si="2"/>
        <v>158</v>
      </c>
      <c r="G17" s="12">
        <f t="shared" si="2"/>
        <v>211</v>
      </c>
      <c r="H17" s="12">
        <f t="shared" si="2"/>
        <v>-34.880734900614584</v>
      </c>
      <c r="I17" s="12">
        <f t="shared" si="2"/>
        <v>-36.800375025395681</v>
      </c>
      <c r="J17" s="12">
        <f t="shared" si="2"/>
        <v>-79.699305195153102</v>
      </c>
      <c r="K17" s="12">
        <f t="shared" si="2"/>
        <v>-74.8738463401383</v>
      </c>
      <c r="L17" s="12">
        <f t="shared" si="2"/>
        <v>-70.511050907314257</v>
      </c>
      <c r="M17" s="12">
        <f t="shared" si="2"/>
        <v>-66.596277560644353</v>
      </c>
      <c r="N17" s="12">
        <f t="shared" si="2"/>
        <v>-63.058091261787922</v>
      </c>
      <c r="P17" s="12">
        <f>P8-P15</f>
        <v>40.580318808952143</v>
      </c>
    </row>
    <row r="18" spans="1:16" ht="5.25" customHeight="1" thickBot="1">
      <c r="A18" s="76"/>
    </row>
    <row r="19" spans="1:16" ht="11" thickBot="1">
      <c r="A19" s="106" t="s">
        <v>235</v>
      </c>
      <c r="C19" s="4"/>
      <c r="E19" s="4"/>
      <c r="F19" s="4"/>
      <c r="G19" s="4"/>
      <c r="H19" s="4"/>
      <c r="I19" s="4"/>
      <c r="J19" s="4"/>
      <c r="K19" s="4"/>
      <c r="L19" s="4"/>
      <c r="M19" s="4"/>
      <c r="N19" s="4"/>
      <c r="O19" s="105"/>
      <c r="P19" s="4"/>
    </row>
    <row r="20" spans="1:16" ht="11" thickBot="1">
      <c r="A20" s="5" t="s">
        <v>236</v>
      </c>
      <c r="C20" s="112">
        <v>0</v>
      </c>
      <c r="E20" s="112">
        <v>0</v>
      </c>
      <c r="F20" s="112">
        <v>0</v>
      </c>
      <c r="G20" s="112">
        <v>0</v>
      </c>
      <c r="H20" s="112">
        <v>0</v>
      </c>
      <c r="I20" s="112">
        <v>0</v>
      </c>
      <c r="J20" s="112">
        <v>0</v>
      </c>
      <c r="K20" s="112">
        <v>0</v>
      </c>
      <c r="L20" s="112">
        <v>0</v>
      </c>
      <c r="M20" s="112">
        <v>0</v>
      </c>
      <c r="N20" s="112">
        <v>0</v>
      </c>
      <c r="P20" s="107">
        <f>SUM(E20:N20)</f>
        <v>0</v>
      </c>
    </row>
    <row r="21" spans="1:16" ht="11" thickBot="1">
      <c r="A21" s="5" t="s">
        <v>237</v>
      </c>
      <c r="C21" s="112">
        <v>22</v>
      </c>
      <c r="E21" s="112">
        <v>24</v>
      </c>
      <c r="F21" s="112">
        <v>25</v>
      </c>
      <c r="G21" s="112">
        <v>25</v>
      </c>
      <c r="H21" s="112">
        <v>26</v>
      </c>
      <c r="I21" s="112">
        <v>26</v>
      </c>
      <c r="J21" s="112">
        <v>26</v>
      </c>
      <c r="K21" s="112">
        <v>26</v>
      </c>
      <c r="L21" s="112">
        <v>26</v>
      </c>
      <c r="M21" s="112">
        <v>26</v>
      </c>
      <c r="N21" s="112">
        <v>26</v>
      </c>
      <c r="P21" s="107">
        <f>SUM(E21:N21)</f>
        <v>256</v>
      </c>
    </row>
    <row r="22" spans="1:16" ht="11" thickBot="1">
      <c r="A22" s="5" t="s">
        <v>238</v>
      </c>
      <c r="C22" s="112">
        <v>51</v>
      </c>
      <c r="E22" s="112">
        <v>76</v>
      </c>
      <c r="F22" s="112">
        <v>-27</v>
      </c>
      <c r="G22" s="112">
        <v>-27</v>
      </c>
      <c r="H22" s="112">
        <v>406.69258320313838</v>
      </c>
      <c r="I22" s="112">
        <v>252.80037502539562</v>
      </c>
      <c r="J22" s="112">
        <v>295.52064326501693</v>
      </c>
      <c r="K22" s="112">
        <v>305.25847907745822</v>
      </c>
      <c r="L22" s="112">
        <v>300.63334220280274</v>
      </c>
      <c r="M22" s="112">
        <v>296.12849637538477</v>
      </c>
      <c r="N22" s="112">
        <v>307.31155142587301</v>
      </c>
      <c r="P22" s="107">
        <f>SUM(E22:N22)</f>
        <v>2186.3454705750696</v>
      </c>
    </row>
    <row r="23" spans="1:16" ht="11" thickBot="1">
      <c r="A23" s="5" t="s">
        <v>239</v>
      </c>
      <c r="C23" s="112">
        <v>0</v>
      </c>
      <c r="E23" s="112">
        <v>0</v>
      </c>
      <c r="F23" s="112">
        <v>0</v>
      </c>
      <c r="G23" s="112">
        <v>0</v>
      </c>
      <c r="H23" s="112">
        <v>0</v>
      </c>
      <c r="I23" s="112">
        <v>0</v>
      </c>
      <c r="J23" s="112">
        <v>0</v>
      </c>
      <c r="K23" s="112">
        <v>0</v>
      </c>
      <c r="L23" s="112">
        <v>0</v>
      </c>
      <c r="M23" s="112">
        <v>0</v>
      </c>
      <c r="N23" s="112">
        <v>0</v>
      </c>
      <c r="P23" s="107">
        <f>SUM(E23:N23)</f>
        <v>0</v>
      </c>
    </row>
    <row r="24" spans="1:16" ht="11" thickBot="1">
      <c r="A24" s="5" t="s">
        <v>240</v>
      </c>
      <c r="C24" s="112">
        <v>0</v>
      </c>
      <c r="E24" s="112">
        <v>0</v>
      </c>
      <c r="F24" s="112">
        <v>0</v>
      </c>
      <c r="G24" s="112">
        <v>0</v>
      </c>
      <c r="H24" s="112">
        <v>0</v>
      </c>
      <c r="I24" s="112">
        <v>0</v>
      </c>
      <c r="J24" s="112">
        <v>0</v>
      </c>
      <c r="K24" s="112">
        <v>0</v>
      </c>
      <c r="L24" s="112">
        <v>0</v>
      </c>
      <c r="M24" s="112">
        <v>0</v>
      </c>
      <c r="N24" s="112">
        <v>0</v>
      </c>
      <c r="P24" s="107">
        <f>SUM(E24:N24)</f>
        <v>0</v>
      </c>
    </row>
    <row r="25" spans="1:16" ht="11" thickBot="1">
      <c r="A25" s="108" t="s">
        <v>241</v>
      </c>
      <c r="C25" s="12">
        <f>SUM(C20:C24)</f>
        <v>73</v>
      </c>
      <c r="E25" s="12">
        <f t="shared" ref="E25:N25" si="3">SUM(E20:E24)</f>
        <v>100</v>
      </c>
      <c r="F25" s="12">
        <f t="shared" si="3"/>
        <v>-2</v>
      </c>
      <c r="G25" s="12">
        <f t="shared" si="3"/>
        <v>-2</v>
      </c>
      <c r="H25" s="12">
        <f t="shared" si="3"/>
        <v>432.69258320313838</v>
      </c>
      <c r="I25" s="12">
        <f t="shared" si="3"/>
        <v>278.80037502539562</v>
      </c>
      <c r="J25" s="12">
        <f t="shared" si="3"/>
        <v>321.52064326501693</v>
      </c>
      <c r="K25" s="12">
        <f t="shared" si="3"/>
        <v>331.25847907745822</v>
      </c>
      <c r="L25" s="12">
        <f t="shared" si="3"/>
        <v>326.63334220280274</v>
      </c>
      <c r="M25" s="12">
        <f t="shared" si="3"/>
        <v>322.12849637538477</v>
      </c>
      <c r="N25" s="12">
        <f t="shared" si="3"/>
        <v>333.31155142587301</v>
      </c>
      <c r="P25" s="12">
        <f>SUM(P20:P24)</f>
        <v>2442.3454705750696</v>
      </c>
    </row>
    <row r="26" spans="1:16" ht="5.25" customHeight="1" thickBot="1">
      <c r="A26" s="76"/>
    </row>
    <row r="27" spans="1:16" ht="11" thickBot="1">
      <c r="A27" s="106" t="s">
        <v>242</v>
      </c>
      <c r="C27" s="4"/>
      <c r="E27" s="4"/>
      <c r="F27" s="4"/>
      <c r="G27" s="4"/>
      <c r="H27" s="4"/>
      <c r="I27" s="4"/>
      <c r="J27" s="4"/>
      <c r="K27" s="4"/>
      <c r="L27" s="4"/>
      <c r="M27" s="4"/>
      <c r="N27" s="4"/>
      <c r="O27" s="105"/>
      <c r="P27" s="4"/>
    </row>
    <row r="28" spans="1:16" ht="11" thickBot="1">
      <c r="A28" s="5" t="s">
        <v>192</v>
      </c>
      <c r="C28" s="112">
        <v>0</v>
      </c>
      <c r="E28" s="112">
        <v>0</v>
      </c>
      <c r="F28" s="112">
        <v>0</v>
      </c>
      <c r="G28" s="112">
        <v>0</v>
      </c>
      <c r="H28" s="112">
        <v>0</v>
      </c>
      <c r="I28" s="112">
        <v>0</v>
      </c>
      <c r="J28" s="112">
        <v>0</v>
      </c>
      <c r="K28" s="112">
        <v>0</v>
      </c>
      <c r="L28" s="112">
        <v>0</v>
      </c>
      <c r="M28" s="112">
        <v>0</v>
      </c>
      <c r="N28" s="112">
        <v>0</v>
      </c>
      <c r="P28" s="107">
        <f>SUM(E28:N28)</f>
        <v>0</v>
      </c>
    </row>
    <row r="29" spans="1:16" ht="11" thickBot="1">
      <c r="A29" s="5" t="s">
        <v>193</v>
      </c>
      <c r="C29" s="112">
        <v>0</v>
      </c>
      <c r="E29" s="112">
        <v>0</v>
      </c>
      <c r="F29" s="112">
        <v>0</v>
      </c>
      <c r="G29" s="112">
        <v>0</v>
      </c>
      <c r="H29" s="112">
        <v>0</v>
      </c>
      <c r="I29" s="112">
        <v>0</v>
      </c>
      <c r="J29" s="112">
        <v>0</v>
      </c>
      <c r="K29" s="112">
        <v>0</v>
      </c>
      <c r="L29" s="112">
        <v>0</v>
      </c>
      <c r="M29" s="112">
        <v>0</v>
      </c>
      <c r="N29" s="112">
        <v>0</v>
      </c>
      <c r="P29" s="107">
        <f>SUM(E29:N29)</f>
        <v>0</v>
      </c>
    </row>
    <row r="30" spans="1:16" ht="11" thickBot="1">
      <c r="A30" s="5" t="s">
        <v>194</v>
      </c>
      <c r="C30" s="112">
        <v>101</v>
      </c>
      <c r="E30" s="112">
        <v>100</v>
      </c>
      <c r="F30" s="112">
        <v>0</v>
      </c>
      <c r="G30" s="112">
        <v>321</v>
      </c>
      <c r="H30" s="112">
        <v>165</v>
      </c>
      <c r="I30" s="112">
        <v>170</v>
      </c>
      <c r="J30" s="112">
        <v>171.82133806986383</v>
      </c>
      <c r="K30" s="112">
        <v>0</v>
      </c>
      <c r="L30" s="112">
        <v>0</v>
      </c>
      <c r="M30" s="112">
        <v>0</v>
      </c>
      <c r="N30" s="112">
        <v>0</v>
      </c>
      <c r="P30" s="107">
        <f>SUM(E30:N30)</f>
        <v>927.82133806986383</v>
      </c>
    </row>
    <row r="31" spans="1:16" ht="11" thickBot="1">
      <c r="A31" s="5" t="s">
        <v>243</v>
      </c>
      <c r="C31" s="112">
        <v>30</v>
      </c>
      <c r="E31" s="112">
        <v>98</v>
      </c>
      <c r="F31" s="112">
        <v>156</v>
      </c>
      <c r="G31" s="112">
        <v>-112</v>
      </c>
      <c r="H31" s="112">
        <v>77</v>
      </c>
      <c r="I31" s="112">
        <v>72</v>
      </c>
      <c r="J31" s="112">
        <v>70</v>
      </c>
      <c r="K31" s="112">
        <v>257</v>
      </c>
      <c r="L31" s="112">
        <v>257</v>
      </c>
      <c r="M31" s="112">
        <v>257</v>
      </c>
      <c r="N31" s="112">
        <v>272</v>
      </c>
      <c r="P31" s="107">
        <f>SUM(E31:N31)</f>
        <v>1404</v>
      </c>
    </row>
    <row r="32" spans="1:16" ht="11" thickBot="1">
      <c r="A32" s="5" t="s">
        <v>244</v>
      </c>
      <c r="C32" s="112">
        <v>0</v>
      </c>
      <c r="E32" s="112">
        <v>0</v>
      </c>
      <c r="F32" s="112">
        <v>0</v>
      </c>
      <c r="G32" s="112">
        <v>0</v>
      </c>
      <c r="H32" s="112">
        <v>155.81184830252374</v>
      </c>
      <c r="I32" s="112">
        <v>0</v>
      </c>
      <c r="J32" s="112">
        <v>0</v>
      </c>
      <c r="K32" s="112">
        <v>0</v>
      </c>
      <c r="L32" s="112">
        <v>0</v>
      </c>
      <c r="M32" s="112">
        <v>0</v>
      </c>
      <c r="N32" s="112">
        <v>0</v>
      </c>
      <c r="P32" s="107">
        <f>SUM(E32:N32)</f>
        <v>155.81184830252374</v>
      </c>
    </row>
    <row r="33" spans="1:16" ht="11" thickBot="1">
      <c r="A33" s="108" t="s">
        <v>245</v>
      </c>
      <c r="C33" s="12">
        <f>SUM(C28:C32)</f>
        <v>131</v>
      </c>
      <c r="E33" s="12">
        <f t="shared" ref="E33:N33" si="4">SUM(E28:E32)</f>
        <v>198</v>
      </c>
      <c r="F33" s="12">
        <f t="shared" si="4"/>
        <v>156</v>
      </c>
      <c r="G33" s="12">
        <f t="shared" si="4"/>
        <v>209</v>
      </c>
      <c r="H33" s="12">
        <f t="shared" si="4"/>
        <v>397.81184830252374</v>
      </c>
      <c r="I33" s="12">
        <f t="shared" si="4"/>
        <v>242</v>
      </c>
      <c r="J33" s="12">
        <f t="shared" si="4"/>
        <v>241.82133806986383</v>
      </c>
      <c r="K33" s="12">
        <f t="shared" si="4"/>
        <v>257</v>
      </c>
      <c r="L33" s="12">
        <f t="shared" si="4"/>
        <v>257</v>
      </c>
      <c r="M33" s="12">
        <f t="shared" si="4"/>
        <v>257</v>
      </c>
      <c r="N33" s="12">
        <f t="shared" si="4"/>
        <v>272</v>
      </c>
      <c r="P33" s="12">
        <f>SUM(P28:P32)</f>
        <v>2487.6331863723876</v>
      </c>
    </row>
    <row r="34" spans="1:16" ht="5.25" customHeight="1" thickBot="1">
      <c r="A34" s="110"/>
    </row>
    <row r="35" spans="1:16" ht="11" thickBot="1">
      <c r="A35" s="108" t="s">
        <v>246</v>
      </c>
      <c r="C35" s="12">
        <f>C25-C33</f>
        <v>-58</v>
      </c>
      <c r="E35" s="12">
        <f t="shared" ref="E35:N35" si="5">E25-E33</f>
        <v>-98</v>
      </c>
      <c r="F35" s="12">
        <f t="shared" si="5"/>
        <v>-158</v>
      </c>
      <c r="G35" s="12">
        <f t="shared" si="5"/>
        <v>-211</v>
      </c>
      <c r="H35" s="12">
        <f t="shared" si="5"/>
        <v>34.880734900614641</v>
      </c>
      <c r="I35" s="12">
        <f t="shared" si="5"/>
        <v>36.800375025395624</v>
      </c>
      <c r="J35" s="12">
        <f t="shared" si="5"/>
        <v>79.699305195153102</v>
      </c>
      <c r="K35" s="12">
        <f t="shared" si="5"/>
        <v>74.258479077458219</v>
      </c>
      <c r="L35" s="12">
        <f t="shared" si="5"/>
        <v>69.633342202802737</v>
      </c>
      <c r="M35" s="12">
        <f t="shared" si="5"/>
        <v>65.128496375384771</v>
      </c>
      <c r="N35" s="12">
        <f t="shared" si="5"/>
        <v>61.311551425873006</v>
      </c>
      <c r="P35" s="12">
        <f>P25-P33</f>
        <v>-45.287715797318015</v>
      </c>
    </row>
    <row r="36" spans="1:16" ht="5.25" customHeight="1" thickBot="1">
      <c r="A36" s="111"/>
    </row>
    <row r="37" spans="1:16" ht="11" thickBot="1">
      <c r="A37" s="108" t="s">
        <v>247</v>
      </c>
      <c r="C37" s="12">
        <f>C17+C35</f>
        <v>0</v>
      </c>
      <c r="E37" s="12">
        <f t="shared" ref="E37:N37" si="6">E17+E35</f>
        <v>0</v>
      </c>
      <c r="F37" s="12">
        <f t="shared" si="6"/>
        <v>0</v>
      </c>
      <c r="G37" s="12">
        <f t="shared" si="6"/>
        <v>0</v>
      </c>
      <c r="H37" s="12">
        <f t="shared" si="6"/>
        <v>5.6843418860808015E-14</v>
      </c>
      <c r="I37" s="12">
        <f t="shared" si="6"/>
        <v>-5.6843418860808015E-14</v>
      </c>
      <c r="J37" s="12">
        <f t="shared" si="6"/>
        <v>0</v>
      </c>
      <c r="K37" s="12">
        <f t="shared" si="6"/>
        <v>-0.61536726268008124</v>
      </c>
      <c r="L37" s="12">
        <f t="shared" si="6"/>
        <v>-0.8777087045115195</v>
      </c>
      <c r="M37" s="12">
        <f t="shared" si="6"/>
        <v>-1.4677811852595823</v>
      </c>
      <c r="N37" s="12">
        <f t="shared" si="6"/>
        <v>-1.7465398359149162</v>
      </c>
      <c r="P37" s="12">
        <f>P17+P35</f>
        <v>-4.7073969883658719</v>
      </c>
    </row>
    <row r="38" spans="1:16" ht="11" thickBot="1"/>
    <row r="39" spans="1:16" ht="11" thickBot="1">
      <c r="A39" s="104" t="s">
        <v>248</v>
      </c>
      <c r="B39" s="91"/>
      <c r="C39" s="91" t="s">
        <v>29</v>
      </c>
      <c r="D39" s="91"/>
      <c r="E39" s="91" t="s">
        <v>19</v>
      </c>
      <c r="F39" s="91" t="s">
        <v>20</v>
      </c>
      <c r="G39" s="91" t="s">
        <v>21</v>
      </c>
      <c r="H39" s="91" t="s">
        <v>22</v>
      </c>
      <c r="I39" s="91" t="s">
        <v>23</v>
      </c>
      <c r="J39" s="91" t="s">
        <v>24</v>
      </c>
      <c r="K39" s="91" t="s">
        <v>25</v>
      </c>
      <c r="L39" s="91" t="s">
        <v>26</v>
      </c>
      <c r="M39" s="91" t="s">
        <v>27</v>
      </c>
      <c r="N39" s="91" t="s">
        <v>28</v>
      </c>
      <c r="O39" s="105"/>
    </row>
    <row r="40" spans="1:16" ht="11" thickBot="1">
      <c r="A40" s="5" t="s">
        <v>181</v>
      </c>
      <c r="C40" s="61">
        <f>C$8</f>
        <v>311</v>
      </c>
      <c r="E40" s="61">
        <f t="shared" ref="E40:N40" si="7">E$8</f>
        <v>320</v>
      </c>
      <c r="F40" s="61">
        <f t="shared" si="7"/>
        <v>392</v>
      </c>
      <c r="G40" s="61">
        <f t="shared" si="7"/>
        <v>452</v>
      </c>
      <c r="H40" s="61">
        <f t="shared" si="7"/>
        <v>280.17244532015729</v>
      </c>
      <c r="I40" s="61">
        <f t="shared" si="7"/>
        <v>304.50300182620532</v>
      </c>
      <c r="J40" s="61">
        <f t="shared" si="7"/>
        <v>289.01853513197659</v>
      </c>
      <c r="K40" s="61">
        <f t="shared" si="7"/>
        <v>320.28980683101889</v>
      </c>
      <c r="L40" s="61">
        <f t="shared" si="7"/>
        <v>347.21187066997425</v>
      </c>
      <c r="M40" s="61">
        <f t="shared" si="7"/>
        <v>376.55608620077498</v>
      </c>
      <c r="N40" s="61">
        <f t="shared" si="7"/>
        <v>404.95259545515</v>
      </c>
    </row>
    <row r="41" spans="1:16" ht="11" thickBot="1">
      <c r="A41" s="5" t="s">
        <v>249</v>
      </c>
      <c r="C41" s="61">
        <f>C$20+C$21+C$23+C$24</f>
        <v>22</v>
      </c>
      <c r="E41" s="61">
        <f t="shared" ref="E41:N41" si="8">E$20+E$21+E$23+E$24</f>
        <v>24</v>
      </c>
      <c r="F41" s="61">
        <f t="shared" si="8"/>
        <v>25</v>
      </c>
      <c r="G41" s="61">
        <f t="shared" si="8"/>
        <v>25</v>
      </c>
      <c r="H41" s="61">
        <f t="shared" si="8"/>
        <v>26</v>
      </c>
      <c r="I41" s="61">
        <f t="shared" si="8"/>
        <v>26</v>
      </c>
      <c r="J41" s="61">
        <f t="shared" si="8"/>
        <v>26</v>
      </c>
      <c r="K41" s="61">
        <f t="shared" si="8"/>
        <v>26</v>
      </c>
      <c r="L41" s="61">
        <f t="shared" si="8"/>
        <v>26</v>
      </c>
      <c r="M41" s="61">
        <f t="shared" si="8"/>
        <v>26</v>
      </c>
      <c r="N41" s="61">
        <f t="shared" si="8"/>
        <v>26</v>
      </c>
    </row>
    <row r="42" spans="1:16" ht="11" thickBot="1">
      <c r="A42" s="108" t="s">
        <v>250</v>
      </c>
      <c r="C42" s="12">
        <f>SUM(C40:C41)</f>
        <v>333</v>
      </c>
      <c r="E42" s="12">
        <f t="shared" ref="E42:N42" si="9">SUM(E40:E41)</f>
        <v>344</v>
      </c>
      <c r="F42" s="12">
        <f t="shared" si="9"/>
        <v>417</v>
      </c>
      <c r="G42" s="12">
        <f t="shared" si="9"/>
        <v>477</v>
      </c>
      <c r="H42" s="12">
        <f t="shared" si="9"/>
        <v>306.17244532015729</v>
      </c>
      <c r="I42" s="12">
        <f t="shared" si="9"/>
        <v>330.50300182620532</v>
      </c>
      <c r="J42" s="12">
        <f t="shared" si="9"/>
        <v>315.01853513197659</v>
      </c>
      <c r="K42" s="12">
        <f t="shared" si="9"/>
        <v>346.28980683101889</v>
      </c>
      <c r="L42" s="12">
        <f t="shared" si="9"/>
        <v>373.21187066997425</v>
      </c>
      <c r="M42" s="12">
        <f t="shared" si="9"/>
        <v>402.55608620077498</v>
      </c>
      <c r="N42" s="12">
        <f t="shared" si="9"/>
        <v>430.95259545515</v>
      </c>
    </row>
    <row r="43" spans="1:16" ht="5.25" customHeight="1" thickBot="1">
      <c r="A43" s="5"/>
      <c r="C43" s="60"/>
      <c r="E43" s="60"/>
      <c r="F43" s="60"/>
      <c r="G43" s="60"/>
      <c r="H43" s="60"/>
      <c r="I43" s="60"/>
      <c r="J43" s="60"/>
      <c r="K43" s="60"/>
      <c r="L43" s="60"/>
      <c r="M43" s="60"/>
      <c r="N43" s="60"/>
    </row>
    <row r="44" spans="1:16" ht="11" thickBot="1">
      <c r="A44" s="5" t="s">
        <v>251</v>
      </c>
      <c r="C44" s="61">
        <f>C$11+C$14</f>
        <v>145</v>
      </c>
      <c r="E44" s="61">
        <f t="shared" ref="E44:N44" si="10">E$11+E$14</f>
        <v>116</v>
      </c>
      <c r="F44" s="61">
        <f t="shared" si="10"/>
        <v>120</v>
      </c>
      <c r="G44" s="61">
        <f t="shared" si="10"/>
        <v>124</v>
      </c>
      <c r="H44" s="61">
        <f t="shared" si="10"/>
        <v>138.17917603487018</v>
      </c>
      <c r="I44" s="61">
        <f t="shared" si="10"/>
        <v>141.43365543574194</v>
      </c>
      <c r="J44" s="61">
        <f t="shared" si="10"/>
        <v>145.39440740019816</v>
      </c>
      <c r="K44" s="61">
        <f t="shared" si="10"/>
        <v>148.0429941267077</v>
      </c>
      <c r="L44" s="61">
        <f t="shared" si="10"/>
        <v>151.40616766358576</v>
      </c>
      <c r="M44" s="61">
        <f t="shared" si="10"/>
        <v>152.71129938875512</v>
      </c>
      <c r="N44" s="61">
        <f t="shared" si="10"/>
        <v>155.99486367045074</v>
      </c>
    </row>
    <row r="45" spans="1:16" ht="11" thickBot="1">
      <c r="A45" s="5" t="s">
        <v>230</v>
      </c>
      <c r="C45" s="61">
        <f>C$12</f>
        <v>2</v>
      </c>
      <c r="E45" s="61">
        <f t="shared" ref="E45:N45" si="11">E$12</f>
        <v>21</v>
      </c>
      <c r="F45" s="61">
        <f t="shared" si="11"/>
        <v>25</v>
      </c>
      <c r="G45" s="61">
        <f t="shared" si="11"/>
        <v>25</v>
      </c>
      <c r="H45" s="61">
        <f t="shared" si="11"/>
        <v>84.874004185901697</v>
      </c>
      <c r="I45" s="61">
        <f t="shared" si="11"/>
        <v>104.86972141585903</v>
      </c>
      <c r="J45" s="61">
        <f t="shared" si="11"/>
        <v>125.32343292693153</v>
      </c>
      <c r="K45" s="61">
        <f t="shared" si="11"/>
        <v>148.12065904444947</v>
      </c>
      <c r="L45" s="61">
        <f t="shared" si="11"/>
        <v>165.31675391370277</v>
      </c>
      <c r="M45" s="61">
        <f t="shared" si="11"/>
        <v>185.44106437266419</v>
      </c>
      <c r="N45" s="61">
        <f t="shared" si="11"/>
        <v>206.01582304648721</v>
      </c>
    </row>
    <row r="46" spans="1:16" ht="11" thickBot="1">
      <c r="A46" s="5" t="s">
        <v>252</v>
      </c>
      <c r="C46" s="61">
        <f>C$13</f>
        <v>106</v>
      </c>
      <c r="E46" s="61">
        <f t="shared" ref="E46:N46" si="12">E$13</f>
        <v>85</v>
      </c>
      <c r="F46" s="61">
        <f t="shared" si="12"/>
        <v>89</v>
      </c>
      <c r="G46" s="61">
        <f t="shared" si="12"/>
        <v>92</v>
      </c>
      <c r="H46" s="61">
        <f t="shared" si="12"/>
        <v>92</v>
      </c>
      <c r="I46" s="61">
        <f t="shared" si="12"/>
        <v>95</v>
      </c>
      <c r="J46" s="61">
        <f t="shared" si="12"/>
        <v>98</v>
      </c>
      <c r="K46" s="61">
        <f t="shared" si="12"/>
        <v>99</v>
      </c>
      <c r="L46" s="61">
        <f t="shared" si="12"/>
        <v>101</v>
      </c>
      <c r="M46" s="61">
        <f t="shared" si="12"/>
        <v>105</v>
      </c>
      <c r="N46" s="61">
        <f t="shared" si="12"/>
        <v>106</v>
      </c>
    </row>
    <row r="47" spans="1:16" ht="11" thickBot="1">
      <c r="A47" s="5" t="s">
        <v>253</v>
      </c>
      <c r="C47" s="61">
        <f>Input!O20</f>
        <v>149</v>
      </c>
      <c r="E47" s="61">
        <f>Input!C$20</f>
        <v>149</v>
      </c>
      <c r="F47" s="61">
        <f>Input!D$20</f>
        <v>151</v>
      </c>
      <c r="G47" s="61">
        <f>Input!E$20</f>
        <v>172</v>
      </c>
      <c r="H47" s="61">
        <f>Input!F$20</f>
        <v>188</v>
      </c>
      <c r="I47" s="61">
        <f>Input!G$20</f>
        <v>220</v>
      </c>
      <c r="J47" s="61">
        <f>Input!H$20</f>
        <v>220</v>
      </c>
      <c r="K47" s="61">
        <f>Input!I$20</f>
        <v>219.99758564959276</v>
      </c>
      <c r="L47" s="61">
        <f>Input!J$20</f>
        <v>234.98926987577275</v>
      </c>
      <c r="M47" s="61">
        <f>Input!K$20</f>
        <v>234.9774089473334</v>
      </c>
      <c r="N47" s="61">
        <f>Input!L$20</f>
        <v>234.95757406645151</v>
      </c>
    </row>
    <row r="48" spans="1:16" ht="11" thickBot="1">
      <c r="A48" s="108" t="s">
        <v>254</v>
      </c>
      <c r="C48" s="12">
        <f>SUM(C44:C47)</f>
        <v>402</v>
      </c>
      <c r="E48" s="12">
        <f t="shared" ref="E48:N48" si="13">SUM(E44:E47)</f>
        <v>371</v>
      </c>
      <c r="F48" s="12">
        <f t="shared" si="13"/>
        <v>385</v>
      </c>
      <c r="G48" s="12">
        <f t="shared" si="13"/>
        <v>413</v>
      </c>
      <c r="H48" s="12">
        <f t="shared" si="13"/>
        <v>503.05318022077188</v>
      </c>
      <c r="I48" s="12">
        <f t="shared" si="13"/>
        <v>561.303376851601</v>
      </c>
      <c r="J48" s="12">
        <f t="shared" si="13"/>
        <v>588.71784032712969</v>
      </c>
      <c r="K48" s="12">
        <f t="shared" si="13"/>
        <v>615.16123882074999</v>
      </c>
      <c r="L48" s="12">
        <f t="shared" si="13"/>
        <v>652.71219145306122</v>
      </c>
      <c r="M48" s="12">
        <f t="shared" si="13"/>
        <v>678.12977270875274</v>
      </c>
      <c r="N48" s="12">
        <f t="shared" si="13"/>
        <v>702.9682607833895</v>
      </c>
    </row>
    <row r="49" spans="1:15" ht="5.25" customHeight="1" thickBot="1">
      <c r="A49" s="5"/>
      <c r="C49" s="61"/>
      <c r="E49" s="60"/>
      <c r="F49" s="60"/>
      <c r="G49" s="60"/>
      <c r="H49" s="60"/>
      <c r="I49" s="60"/>
      <c r="J49" s="60"/>
      <c r="K49" s="60"/>
      <c r="L49" s="60"/>
      <c r="M49" s="60"/>
      <c r="N49" s="60"/>
    </row>
    <row r="50" spans="1:15" ht="11" thickBot="1">
      <c r="A50" s="108" t="s">
        <v>255</v>
      </c>
      <c r="C50" s="12">
        <f>C42-C48</f>
        <v>-69</v>
      </c>
      <c r="E50" s="12">
        <f t="shared" ref="E50:N50" si="14">E42-E48</f>
        <v>-27</v>
      </c>
      <c r="F50" s="12">
        <f t="shared" si="14"/>
        <v>32</v>
      </c>
      <c r="G50" s="12">
        <f t="shared" si="14"/>
        <v>64</v>
      </c>
      <c r="H50" s="12">
        <f t="shared" si="14"/>
        <v>-196.88073490061458</v>
      </c>
      <c r="I50" s="12">
        <f t="shared" si="14"/>
        <v>-230.80037502539568</v>
      </c>
      <c r="J50" s="12">
        <f t="shared" si="14"/>
        <v>-273.6993051951531</v>
      </c>
      <c r="K50" s="12">
        <f t="shared" si="14"/>
        <v>-268.87143198973109</v>
      </c>
      <c r="L50" s="12">
        <f t="shared" si="14"/>
        <v>-279.50032078308698</v>
      </c>
      <c r="M50" s="12">
        <f t="shared" si="14"/>
        <v>-275.57368650797775</v>
      </c>
      <c r="N50" s="12">
        <f t="shared" si="14"/>
        <v>-272.01566532823949</v>
      </c>
    </row>
    <row r="51" spans="1:15" ht="5.25" customHeight="1" thickBot="1">
      <c r="A51" s="5"/>
      <c r="C51" s="61"/>
      <c r="E51" s="60"/>
      <c r="F51" s="60"/>
      <c r="G51" s="60"/>
      <c r="H51" s="60"/>
      <c r="I51" s="60"/>
      <c r="J51" s="60"/>
      <c r="K51" s="60"/>
      <c r="L51" s="60"/>
      <c r="M51" s="60"/>
      <c r="N51" s="60"/>
    </row>
    <row r="52" spans="1:15" ht="11" thickBot="1">
      <c r="A52" s="5" t="s">
        <v>256</v>
      </c>
      <c r="C52" s="112">
        <f>Input!O25</f>
        <v>0</v>
      </c>
      <c r="E52" s="61">
        <f>Input!C$25</f>
        <v>0</v>
      </c>
      <c r="F52" s="61">
        <f>Input!D$25</f>
        <v>463.49071199999997</v>
      </c>
      <c r="G52" s="61">
        <f>Input!E$25</f>
        <v>0</v>
      </c>
      <c r="H52" s="61">
        <f>Input!F$25</f>
        <v>477.07713931519874</v>
      </c>
      <c r="I52" s="61">
        <f>Input!G$25</f>
        <v>0</v>
      </c>
      <c r="J52" s="61">
        <f>Input!H$25</f>
        <v>497.11936542523256</v>
      </c>
      <c r="K52" s="61">
        <f>Input!I$25</f>
        <v>0</v>
      </c>
      <c r="L52" s="61">
        <f>Input!J$25</f>
        <v>497.94750475779784</v>
      </c>
      <c r="M52" s="61">
        <f>Input!K$25</f>
        <v>0</v>
      </c>
      <c r="N52" s="61">
        <f>Input!L$25</f>
        <v>499.19276684151595</v>
      </c>
    </row>
    <row r="53" spans="1:15" ht="11" thickBot="1">
      <c r="A53" s="108" t="s">
        <v>257</v>
      </c>
      <c r="C53" s="12">
        <f>C50+C52</f>
        <v>-69</v>
      </c>
      <c r="E53" s="12">
        <f t="shared" ref="E53:N53" si="15">E50+E52</f>
        <v>-27</v>
      </c>
      <c r="F53" s="12">
        <f t="shared" si="15"/>
        <v>495.49071199999997</v>
      </c>
      <c r="G53" s="12">
        <f t="shared" si="15"/>
        <v>64</v>
      </c>
      <c r="H53" s="12">
        <f t="shared" si="15"/>
        <v>280.19640441458415</v>
      </c>
      <c r="I53" s="12">
        <f t="shared" si="15"/>
        <v>-230.80037502539568</v>
      </c>
      <c r="J53" s="12">
        <f t="shared" si="15"/>
        <v>223.42006023007946</v>
      </c>
      <c r="K53" s="12">
        <f t="shared" si="15"/>
        <v>-268.87143198973109</v>
      </c>
      <c r="L53" s="12">
        <f t="shared" si="15"/>
        <v>218.44718397471087</v>
      </c>
      <c r="M53" s="12">
        <f t="shared" si="15"/>
        <v>-275.57368650797775</v>
      </c>
      <c r="N53" s="12">
        <f t="shared" si="15"/>
        <v>227.17710151327645</v>
      </c>
    </row>
    <row r="54" spans="1:15" ht="5.25" customHeight="1" thickBot="1">
      <c r="A54" s="5"/>
      <c r="C54" s="61"/>
      <c r="E54" s="60"/>
      <c r="F54" s="60"/>
      <c r="G54" s="60"/>
      <c r="H54" s="60"/>
      <c r="I54" s="60"/>
      <c r="J54" s="60"/>
      <c r="K54" s="60"/>
      <c r="L54" s="60"/>
      <c r="M54" s="60"/>
      <c r="N54" s="60"/>
    </row>
    <row r="55" spans="1:15" ht="11" thickBot="1">
      <c r="A55" s="108" t="s">
        <v>258</v>
      </c>
      <c r="C55" s="12">
        <f>C50+C47</f>
        <v>80</v>
      </c>
      <c r="E55" s="12">
        <f t="shared" ref="E55:N55" si="16">E50+E47</f>
        <v>122</v>
      </c>
      <c r="F55" s="12">
        <f t="shared" si="16"/>
        <v>183</v>
      </c>
      <c r="G55" s="12">
        <f t="shared" si="16"/>
        <v>236</v>
      </c>
      <c r="H55" s="12">
        <f t="shared" si="16"/>
        <v>-8.8807349006145841</v>
      </c>
      <c r="I55" s="12">
        <f t="shared" si="16"/>
        <v>-10.800375025395681</v>
      </c>
      <c r="J55" s="12">
        <f t="shared" si="16"/>
        <v>-53.699305195153102</v>
      </c>
      <c r="K55" s="12">
        <f t="shared" si="16"/>
        <v>-48.873846340138329</v>
      </c>
      <c r="L55" s="12">
        <f t="shared" si="16"/>
        <v>-44.511050907314228</v>
      </c>
      <c r="M55" s="12">
        <f t="shared" si="16"/>
        <v>-40.596277560644353</v>
      </c>
      <c r="N55" s="12">
        <f t="shared" si="16"/>
        <v>-37.058091261787979</v>
      </c>
    </row>
    <row r="56" spans="1:15" ht="11" thickBot="1"/>
    <row r="57" spans="1:15" ht="11" thickBot="1">
      <c r="A57" s="104" t="s">
        <v>259</v>
      </c>
      <c r="B57" s="91"/>
      <c r="C57" s="91" t="s">
        <v>29</v>
      </c>
      <c r="D57" s="91"/>
      <c r="E57" s="91" t="s">
        <v>19</v>
      </c>
      <c r="F57" s="91" t="s">
        <v>20</v>
      </c>
      <c r="G57" s="91" t="s">
        <v>21</v>
      </c>
      <c r="H57" s="91" t="s">
        <v>22</v>
      </c>
      <c r="I57" s="91" t="s">
        <v>23</v>
      </c>
      <c r="J57" s="91" t="s">
        <v>24</v>
      </c>
      <c r="K57" s="91" t="s">
        <v>25</v>
      </c>
      <c r="L57" s="91" t="s">
        <v>26</v>
      </c>
      <c r="M57" s="91" t="s">
        <v>27</v>
      </c>
      <c r="N57" s="91" t="s">
        <v>28</v>
      </c>
    </row>
    <row r="58" spans="1:15" ht="11" thickBot="1">
      <c r="A58" s="106" t="s">
        <v>260</v>
      </c>
      <c r="C58" s="4"/>
      <c r="E58" s="4"/>
      <c r="F58" s="4"/>
      <c r="G58" s="4"/>
      <c r="H58" s="4"/>
      <c r="I58" s="4"/>
      <c r="J58" s="4"/>
      <c r="K58" s="4"/>
      <c r="L58" s="4"/>
      <c r="M58" s="4"/>
      <c r="N58" s="4"/>
      <c r="O58" s="105"/>
    </row>
    <row r="59" spans="1:15" ht="11" thickBot="1">
      <c r="A59" s="5" t="s">
        <v>261</v>
      </c>
      <c r="C59" s="61">
        <f>C$55</f>
        <v>80</v>
      </c>
      <c r="E59" s="61">
        <f t="shared" ref="E59:N59" si="17">E$55</f>
        <v>122</v>
      </c>
      <c r="F59" s="61">
        <f t="shared" si="17"/>
        <v>183</v>
      </c>
      <c r="G59" s="61">
        <f t="shared" si="17"/>
        <v>236</v>
      </c>
      <c r="H59" s="61">
        <f t="shared" si="17"/>
        <v>-8.8807349006145841</v>
      </c>
      <c r="I59" s="61">
        <f t="shared" si="17"/>
        <v>-10.800375025395681</v>
      </c>
      <c r="J59" s="61">
        <f t="shared" si="17"/>
        <v>-53.699305195153102</v>
      </c>
      <c r="K59" s="61">
        <f t="shared" si="17"/>
        <v>-48.873846340138329</v>
      </c>
      <c r="L59" s="61">
        <f t="shared" si="17"/>
        <v>-44.511050907314228</v>
      </c>
      <c r="M59" s="61">
        <f t="shared" si="17"/>
        <v>-40.596277560644353</v>
      </c>
      <c r="N59" s="61">
        <f t="shared" si="17"/>
        <v>-37.058091261787979</v>
      </c>
    </row>
    <row r="60" spans="1:15" ht="11" thickBot="1">
      <c r="A60" s="5" t="s">
        <v>262</v>
      </c>
      <c r="C60" s="61"/>
      <c r="E60" s="61"/>
      <c r="F60" s="61"/>
      <c r="G60" s="61"/>
      <c r="H60" s="61"/>
      <c r="I60" s="61"/>
      <c r="J60" s="61"/>
      <c r="K60" s="61"/>
      <c r="L60" s="61"/>
      <c r="M60" s="61"/>
      <c r="N60" s="61"/>
    </row>
    <row r="61" spans="1:15" ht="11" thickBot="1">
      <c r="A61" s="108" t="s">
        <v>263</v>
      </c>
      <c r="C61" s="12">
        <f>SUM(C59:C60)</f>
        <v>80</v>
      </c>
      <c r="E61" s="12">
        <f t="shared" ref="E61:N61" si="18">SUM(E59:E60)</f>
        <v>122</v>
      </c>
      <c r="F61" s="12">
        <f t="shared" si="18"/>
        <v>183</v>
      </c>
      <c r="G61" s="12">
        <f t="shared" si="18"/>
        <v>236</v>
      </c>
      <c r="H61" s="12">
        <f t="shared" si="18"/>
        <v>-8.8807349006145841</v>
      </c>
      <c r="I61" s="12">
        <f t="shared" si="18"/>
        <v>-10.800375025395681</v>
      </c>
      <c r="J61" s="12">
        <f t="shared" si="18"/>
        <v>-53.699305195153102</v>
      </c>
      <c r="K61" s="12">
        <f t="shared" si="18"/>
        <v>-48.873846340138329</v>
      </c>
      <c r="L61" s="12">
        <f t="shared" si="18"/>
        <v>-44.511050907314228</v>
      </c>
      <c r="M61" s="12">
        <f t="shared" si="18"/>
        <v>-40.596277560644353</v>
      </c>
      <c r="N61" s="12">
        <f t="shared" si="18"/>
        <v>-37.058091261787979</v>
      </c>
    </row>
    <row r="62" spans="1:15" ht="5.25" customHeight="1" thickBot="1">
      <c r="A62" s="5"/>
      <c r="C62" s="61"/>
      <c r="E62" s="60"/>
      <c r="F62" s="60"/>
      <c r="G62" s="60"/>
      <c r="H62" s="60"/>
      <c r="I62" s="60"/>
      <c r="J62" s="60"/>
      <c r="K62" s="60"/>
      <c r="L62" s="60"/>
      <c r="M62" s="60"/>
      <c r="N62" s="60"/>
    </row>
    <row r="63" spans="1:15" ht="11" thickBot="1">
      <c r="A63" s="106" t="s">
        <v>264</v>
      </c>
      <c r="C63" s="4"/>
      <c r="E63" s="4"/>
      <c r="F63" s="4"/>
      <c r="G63" s="4"/>
      <c r="H63" s="4"/>
      <c r="I63" s="4"/>
      <c r="J63" s="4"/>
      <c r="K63" s="4"/>
      <c r="L63" s="4"/>
      <c r="M63" s="4"/>
      <c r="N63" s="4"/>
      <c r="O63" s="105"/>
    </row>
    <row r="64" spans="1:15" ht="11" thickBot="1">
      <c r="A64" s="5" t="s">
        <v>262</v>
      </c>
      <c r="C64" s="61"/>
      <c r="E64" s="61">
        <f>-E32</f>
        <v>0</v>
      </c>
      <c r="F64" s="61">
        <f>-F32</f>
        <v>0</v>
      </c>
      <c r="G64" s="61">
        <f>-G32</f>
        <v>0</v>
      </c>
      <c r="H64" s="61">
        <f t="shared" ref="H64:N64" si="19">-H32</f>
        <v>-155.81184830252374</v>
      </c>
      <c r="I64" s="61">
        <f t="shared" si="19"/>
        <v>0</v>
      </c>
      <c r="J64" s="61">
        <f t="shared" si="19"/>
        <v>0</v>
      </c>
      <c r="K64" s="61">
        <f t="shared" si="19"/>
        <v>0</v>
      </c>
      <c r="L64" s="61">
        <f t="shared" si="19"/>
        <v>0</v>
      </c>
      <c r="M64" s="61">
        <f t="shared" si="19"/>
        <v>0</v>
      </c>
      <c r="N64" s="61">
        <f t="shared" si="19"/>
        <v>0</v>
      </c>
    </row>
    <row r="65" spans="1:15" ht="11" thickBot="1">
      <c r="A65" s="5" t="s">
        <v>171</v>
      </c>
      <c r="C65" s="61">
        <f>-SUM(C$28:C$30)</f>
        <v>-101</v>
      </c>
      <c r="E65" s="61">
        <f t="shared" ref="E65:N65" si="20">-SUM(E$28:E$30)</f>
        <v>-100</v>
      </c>
      <c r="F65" s="61">
        <f t="shared" si="20"/>
        <v>0</v>
      </c>
      <c r="G65" s="61">
        <f t="shared" si="20"/>
        <v>-321</v>
      </c>
      <c r="H65" s="61">
        <f t="shared" si="20"/>
        <v>-165</v>
      </c>
      <c r="I65" s="61">
        <f t="shared" si="20"/>
        <v>-170</v>
      </c>
      <c r="J65" s="61">
        <f t="shared" si="20"/>
        <v>-171.82133806986383</v>
      </c>
      <c r="K65" s="61">
        <f t="shared" si="20"/>
        <v>0</v>
      </c>
      <c r="L65" s="61">
        <f t="shared" si="20"/>
        <v>0</v>
      </c>
      <c r="M65" s="61">
        <f t="shared" si="20"/>
        <v>0</v>
      </c>
      <c r="N65" s="61">
        <f t="shared" si="20"/>
        <v>0</v>
      </c>
    </row>
    <row r="66" spans="1:15" ht="11" thickBot="1">
      <c r="A66" s="108" t="s">
        <v>265</v>
      </c>
      <c r="C66" s="12">
        <f>SUM(C64:C65)</f>
        <v>-101</v>
      </c>
      <c r="E66" s="12">
        <f t="shared" ref="E66:N66" si="21">SUM(E64:E65)</f>
        <v>-100</v>
      </c>
      <c r="F66" s="12">
        <f t="shared" si="21"/>
        <v>0</v>
      </c>
      <c r="G66" s="12">
        <f t="shared" si="21"/>
        <v>-321</v>
      </c>
      <c r="H66" s="12">
        <f t="shared" si="21"/>
        <v>-320.81184830252374</v>
      </c>
      <c r="I66" s="12">
        <f t="shared" si="21"/>
        <v>-170</v>
      </c>
      <c r="J66" s="12">
        <f t="shared" si="21"/>
        <v>-171.82133806986383</v>
      </c>
      <c r="K66" s="12">
        <f t="shared" si="21"/>
        <v>0</v>
      </c>
      <c r="L66" s="12">
        <f t="shared" si="21"/>
        <v>0</v>
      </c>
      <c r="M66" s="12">
        <f t="shared" si="21"/>
        <v>0</v>
      </c>
      <c r="N66" s="12">
        <f t="shared" si="21"/>
        <v>0</v>
      </c>
    </row>
    <row r="67" spans="1:15" ht="5.25" customHeight="1" thickBot="1">
      <c r="A67" s="5"/>
      <c r="C67" s="61"/>
      <c r="E67" s="60"/>
      <c r="F67" s="60"/>
      <c r="G67" s="60"/>
      <c r="H67" s="60"/>
      <c r="I67" s="60"/>
      <c r="J67" s="60"/>
      <c r="K67" s="60"/>
      <c r="L67" s="60"/>
      <c r="M67" s="60"/>
      <c r="N67" s="60"/>
    </row>
    <row r="68" spans="1:15" ht="11" thickBot="1">
      <c r="A68" s="106" t="s">
        <v>266</v>
      </c>
      <c r="C68" s="4"/>
      <c r="E68" s="4"/>
      <c r="F68" s="4"/>
      <c r="G68" s="4"/>
      <c r="H68" s="4"/>
      <c r="I68" s="4"/>
      <c r="J68" s="4"/>
      <c r="K68" s="4"/>
      <c r="L68" s="4"/>
      <c r="M68" s="4"/>
      <c r="N68" s="4"/>
      <c r="O68" s="105"/>
    </row>
    <row r="69" spans="1:15" ht="11" thickBot="1">
      <c r="A69" s="5" t="s">
        <v>267</v>
      </c>
      <c r="C69" s="61">
        <f>C$22-C$70</f>
        <v>51</v>
      </c>
      <c r="E69" s="61">
        <f>E$22-E$70-E31</f>
        <v>-22</v>
      </c>
      <c r="F69" s="61">
        <f t="shared" ref="F69:N69" si="22">F$22-F$70-F31</f>
        <v>-183</v>
      </c>
      <c r="G69" s="61">
        <f t="shared" si="22"/>
        <v>85</v>
      </c>
      <c r="H69" s="61">
        <f t="shared" si="22"/>
        <v>329.69258320313838</v>
      </c>
      <c r="I69" s="61">
        <f t="shared" si="22"/>
        <v>180.80037502539562</v>
      </c>
      <c r="J69" s="61">
        <f t="shared" si="22"/>
        <v>225.52064326501693</v>
      </c>
      <c r="K69" s="61">
        <f t="shared" si="22"/>
        <v>48.258479077458219</v>
      </c>
      <c r="L69" s="61">
        <f t="shared" si="22"/>
        <v>43.633342202802737</v>
      </c>
      <c r="M69" s="61">
        <f t="shared" si="22"/>
        <v>39.128496375384771</v>
      </c>
      <c r="N69" s="61">
        <f t="shared" si="22"/>
        <v>35.311551425873006</v>
      </c>
    </row>
    <row r="70" spans="1:15" ht="11" thickBot="1">
      <c r="A70" s="5" t="s">
        <v>268</v>
      </c>
      <c r="C70" s="61"/>
      <c r="E70" s="61"/>
      <c r="F70" s="61"/>
      <c r="G70" s="61"/>
      <c r="H70" s="61"/>
      <c r="I70" s="61"/>
      <c r="J70" s="61"/>
      <c r="K70" s="61"/>
      <c r="L70" s="61"/>
      <c r="M70" s="61"/>
      <c r="N70" s="61"/>
    </row>
    <row r="71" spans="1:15" ht="11" thickBot="1">
      <c r="A71" s="108" t="s">
        <v>269</v>
      </c>
      <c r="C71" s="12">
        <f>SUM(C69:C70)</f>
        <v>51</v>
      </c>
      <c r="E71" s="12">
        <f t="shared" ref="E71:N71" si="23">SUM(E69:E70)</f>
        <v>-22</v>
      </c>
      <c r="F71" s="12">
        <f t="shared" si="23"/>
        <v>-183</v>
      </c>
      <c r="G71" s="12">
        <f t="shared" si="23"/>
        <v>85</v>
      </c>
      <c r="H71" s="12">
        <f t="shared" si="23"/>
        <v>329.69258320313838</v>
      </c>
      <c r="I71" s="12">
        <f t="shared" si="23"/>
        <v>180.80037502539562</v>
      </c>
      <c r="J71" s="12">
        <f t="shared" si="23"/>
        <v>225.52064326501693</v>
      </c>
      <c r="K71" s="12">
        <f t="shared" si="23"/>
        <v>48.258479077458219</v>
      </c>
      <c r="L71" s="12">
        <f t="shared" si="23"/>
        <v>43.633342202802737</v>
      </c>
      <c r="M71" s="12">
        <f t="shared" si="23"/>
        <v>39.128496375384771</v>
      </c>
      <c r="N71" s="12">
        <f t="shared" si="23"/>
        <v>35.311551425873006</v>
      </c>
    </row>
    <row r="72" spans="1:15" ht="5.25" customHeight="1" thickBot="1">
      <c r="A72" s="5"/>
      <c r="C72" s="60"/>
      <c r="E72" s="60"/>
      <c r="F72" s="60"/>
      <c r="G72" s="60"/>
      <c r="H72" s="60"/>
      <c r="I72" s="60"/>
      <c r="J72" s="60"/>
      <c r="K72" s="60"/>
      <c r="L72" s="60"/>
      <c r="M72" s="60"/>
      <c r="N72" s="60"/>
    </row>
    <row r="73" spans="1:15" ht="11" thickBot="1">
      <c r="A73" s="108" t="s">
        <v>270</v>
      </c>
      <c r="C73" s="12">
        <f>C61+C66+C71</f>
        <v>30</v>
      </c>
      <c r="E73" s="12">
        <f t="shared" ref="E73:N73" si="24">E61+E66+E71</f>
        <v>0</v>
      </c>
      <c r="F73" s="12">
        <f t="shared" si="24"/>
        <v>0</v>
      </c>
      <c r="G73" s="12">
        <f t="shared" si="24"/>
        <v>0</v>
      </c>
      <c r="H73" s="12">
        <f t="shared" si="24"/>
        <v>0</v>
      </c>
      <c r="I73" s="12">
        <f t="shared" si="24"/>
        <v>0</v>
      </c>
      <c r="J73" s="12">
        <f t="shared" si="24"/>
        <v>0</v>
      </c>
      <c r="K73" s="12">
        <f t="shared" si="24"/>
        <v>-0.61536726268010966</v>
      </c>
      <c r="L73" s="12">
        <f t="shared" si="24"/>
        <v>-0.87770870451149108</v>
      </c>
      <c r="M73" s="12">
        <f t="shared" si="24"/>
        <v>-1.4677811852595823</v>
      </c>
      <c r="N73" s="12">
        <f t="shared" si="24"/>
        <v>-1.7465398359149731</v>
      </c>
    </row>
    <row r="74" spans="1:15" ht="5.25" customHeight="1" thickBot="1">
      <c r="A74" s="5"/>
      <c r="C74" s="60"/>
      <c r="E74" s="60"/>
      <c r="F74" s="60"/>
      <c r="G74" s="60"/>
      <c r="H74" s="60"/>
      <c r="I74" s="60"/>
      <c r="J74" s="60"/>
      <c r="K74" s="60"/>
      <c r="L74" s="60"/>
      <c r="M74" s="60"/>
      <c r="N74" s="60"/>
    </row>
    <row r="75" spans="1:15" ht="11" thickBot="1">
      <c r="A75" s="108" t="s">
        <v>271</v>
      </c>
      <c r="C75" s="12">
        <f>C76-C73</f>
        <v>1330</v>
      </c>
      <c r="E75" s="12">
        <f>C76</f>
        <v>1360</v>
      </c>
      <c r="F75" s="12">
        <f t="shared" ref="F75:N75" si="25">E76</f>
        <v>1360</v>
      </c>
      <c r="G75" s="12">
        <f t="shared" si="25"/>
        <v>1360</v>
      </c>
      <c r="H75" s="12">
        <f t="shared" si="25"/>
        <v>1360</v>
      </c>
      <c r="I75" s="12">
        <f t="shared" si="25"/>
        <v>1360</v>
      </c>
      <c r="J75" s="12">
        <f t="shared" si="25"/>
        <v>1360</v>
      </c>
      <c r="K75" s="12">
        <f t="shared" si="25"/>
        <v>1360</v>
      </c>
      <c r="L75" s="12">
        <f t="shared" si="25"/>
        <v>1359.3846327373199</v>
      </c>
      <c r="M75" s="12">
        <f t="shared" si="25"/>
        <v>1358.5069240328085</v>
      </c>
      <c r="N75" s="12">
        <f t="shared" si="25"/>
        <v>1357.0391428475489</v>
      </c>
    </row>
    <row r="76" spans="1:15" ht="11" thickBot="1">
      <c r="A76" s="108" t="s">
        <v>272</v>
      </c>
      <c r="C76" s="12">
        <f>C80</f>
        <v>1360</v>
      </c>
      <c r="E76" s="12">
        <f t="shared" ref="E76:N76" si="26">E73+E75</f>
        <v>1360</v>
      </c>
      <c r="F76" s="12">
        <f t="shared" si="26"/>
        <v>1360</v>
      </c>
      <c r="G76" s="12">
        <f t="shared" si="26"/>
        <v>1360</v>
      </c>
      <c r="H76" s="12">
        <f t="shared" si="26"/>
        <v>1360</v>
      </c>
      <c r="I76" s="12">
        <f t="shared" si="26"/>
        <v>1360</v>
      </c>
      <c r="J76" s="12">
        <f t="shared" si="26"/>
        <v>1360</v>
      </c>
      <c r="K76" s="12">
        <f t="shared" si="26"/>
        <v>1359.3846327373199</v>
      </c>
      <c r="L76" s="12">
        <f t="shared" si="26"/>
        <v>1358.5069240328085</v>
      </c>
      <c r="M76" s="12">
        <f t="shared" si="26"/>
        <v>1357.0391428475489</v>
      </c>
      <c r="N76" s="12">
        <f t="shared" si="26"/>
        <v>1355.2926030116339</v>
      </c>
    </row>
    <row r="77" spans="1:15" ht="11" thickBot="1"/>
    <row r="78" spans="1:15" ht="11" thickBot="1">
      <c r="A78" s="104" t="s">
        <v>273</v>
      </c>
      <c r="B78" s="91"/>
      <c r="C78" s="91" t="s">
        <v>29</v>
      </c>
      <c r="D78" s="91"/>
      <c r="E78" s="91" t="s">
        <v>19</v>
      </c>
      <c r="F78" s="91" t="s">
        <v>20</v>
      </c>
      <c r="G78" s="91" t="s">
        <v>21</v>
      </c>
      <c r="H78" s="91" t="s">
        <v>22</v>
      </c>
      <c r="I78" s="91" t="s">
        <v>23</v>
      </c>
      <c r="J78" s="91" t="s">
        <v>24</v>
      </c>
      <c r="K78" s="91" t="s">
        <v>25</v>
      </c>
      <c r="L78" s="91" t="s">
        <v>26</v>
      </c>
      <c r="M78" s="91" t="s">
        <v>27</v>
      </c>
      <c r="N78" s="91" t="s">
        <v>28</v>
      </c>
      <c r="O78" s="105"/>
    </row>
    <row r="79" spans="1:15" ht="11" thickBot="1">
      <c r="A79" s="106" t="s">
        <v>274</v>
      </c>
      <c r="C79" s="4"/>
      <c r="E79" s="4"/>
      <c r="F79" s="4"/>
      <c r="G79" s="4"/>
      <c r="H79" s="4"/>
      <c r="I79" s="4"/>
      <c r="J79" s="4"/>
      <c r="K79" s="4"/>
      <c r="L79" s="4"/>
      <c r="M79" s="4"/>
      <c r="N79" s="4"/>
      <c r="O79" s="105"/>
    </row>
    <row r="80" spans="1:15" ht="11" thickBot="1">
      <c r="A80" s="5" t="s">
        <v>275</v>
      </c>
      <c r="C80" s="61">
        <f>Input!$E$9</f>
        <v>1360</v>
      </c>
      <c r="E80" s="61">
        <f t="shared" ref="E80:N80" si="27">E76</f>
        <v>1360</v>
      </c>
      <c r="F80" s="61">
        <f t="shared" si="27"/>
        <v>1360</v>
      </c>
      <c r="G80" s="61">
        <f t="shared" si="27"/>
        <v>1360</v>
      </c>
      <c r="H80" s="61">
        <f t="shared" si="27"/>
        <v>1360</v>
      </c>
      <c r="I80" s="61">
        <f t="shared" si="27"/>
        <v>1360</v>
      </c>
      <c r="J80" s="61">
        <f t="shared" si="27"/>
        <v>1360</v>
      </c>
      <c r="K80" s="61">
        <f t="shared" si="27"/>
        <v>1359.3846327373199</v>
      </c>
      <c r="L80" s="61">
        <f t="shared" si="27"/>
        <v>1358.5069240328085</v>
      </c>
      <c r="M80" s="61">
        <f t="shared" si="27"/>
        <v>1357.0391428475489</v>
      </c>
      <c r="N80" s="61">
        <f t="shared" si="27"/>
        <v>1355.2926030116339</v>
      </c>
    </row>
    <row r="81" spans="1:15" ht="11" thickBot="1">
      <c r="A81" s="5" t="s">
        <v>276</v>
      </c>
      <c r="C81" s="61"/>
      <c r="E81" s="61"/>
      <c r="F81" s="61"/>
      <c r="G81" s="61"/>
      <c r="H81" s="61"/>
      <c r="I81" s="61"/>
      <c r="J81" s="61"/>
      <c r="K81" s="61"/>
      <c r="L81" s="61"/>
      <c r="M81" s="61"/>
      <c r="N81" s="61"/>
    </row>
    <row r="82" spans="1:15" ht="11" thickBot="1">
      <c r="A82" s="5" t="s">
        <v>277</v>
      </c>
      <c r="C82" s="61">
        <f>Input!$E$7-Input!$E$8</f>
        <v>9206</v>
      </c>
      <c r="E82" s="61">
        <f>$C$82-E$47+SUM(E$28:E$30)+E$52</f>
        <v>9157</v>
      </c>
      <c r="F82" s="61">
        <f t="shared" ref="F82:N82" si="28">E$82-F$47+SUM(F$28:F$30)+F$52</f>
        <v>9469.4907120000007</v>
      </c>
      <c r="G82" s="61">
        <f t="shared" si="28"/>
        <v>9618.4907120000007</v>
      </c>
      <c r="H82" s="61">
        <f t="shared" si="28"/>
        <v>10072.5678513152</v>
      </c>
      <c r="I82" s="61">
        <f t="shared" si="28"/>
        <v>10022.5678513152</v>
      </c>
      <c r="J82" s="61">
        <f t="shared" si="28"/>
        <v>10471.508554810296</v>
      </c>
      <c r="K82" s="61">
        <f t="shared" si="28"/>
        <v>10251.510969160703</v>
      </c>
      <c r="L82" s="61">
        <f t="shared" si="28"/>
        <v>10514.469204042729</v>
      </c>
      <c r="M82" s="61">
        <f t="shared" si="28"/>
        <v>10279.491795095395</v>
      </c>
      <c r="N82" s="61">
        <f t="shared" si="28"/>
        <v>10543.726987870459</v>
      </c>
    </row>
    <row r="83" spans="1:15" ht="11" thickBot="1">
      <c r="A83" s="5" t="s">
        <v>278</v>
      </c>
      <c r="C83" s="61"/>
      <c r="E83" s="61">
        <f>C83-E64</f>
        <v>0</v>
      </c>
      <c r="F83" s="61">
        <f>E83-F64</f>
        <v>0</v>
      </c>
      <c r="G83" s="61">
        <f t="shared" ref="G83:N83" si="29">F83-G64</f>
        <v>0</v>
      </c>
      <c r="H83" s="61">
        <f t="shared" si="29"/>
        <v>155.81184830252374</v>
      </c>
      <c r="I83" s="61">
        <f t="shared" si="29"/>
        <v>155.81184830252374</v>
      </c>
      <c r="J83" s="61">
        <f t="shared" si="29"/>
        <v>155.81184830252374</v>
      </c>
      <c r="K83" s="61">
        <f t="shared" si="29"/>
        <v>155.81184830252374</v>
      </c>
      <c r="L83" s="61">
        <f t="shared" si="29"/>
        <v>155.81184830252374</v>
      </c>
      <c r="M83" s="61">
        <f t="shared" si="29"/>
        <v>155.81184830252374</v>
      </c>
      <c r="N83" s="61">
        <f t="shared" si="29"/>
        <v>155.81184830252374</v>
      </c>
    </row>
    <row r="84" spans="1:15" ht="11" thickBot="1">
      <c r="A84" s="108" t="s">
        <v>279</v>
      </c>
      <c r="C84" s="12">
        <f>SUM(C80:C83)</f>
        <v>10566</v>
      </c>
      <c r="E84" s="12">
        <f t="shared" ref="E84:N84" si="30">SUM(E80:E83)</f>
        <v>10517</v>
      </c>
      <c r="F84" s="12">
        <f t="shared" si="30"/>
        <v>10829.490712000001</v>
      </c>
      <c r="G84" s="12">
        <f t="shared" si="30"/>
        <v>10978.490712000001</v>
      </c>
      <c r="H84" s="12">
        <f t="shared" si="30"/>
        <v>11588.379699617724</v>
      </c>
      <c r="I84" s="12">
        <f t="shared" si="30"/>
        <v>11538.379699617724</v>
      </c>
      <c r="J84" s="12">
        <f t="shared" si="30"/>
        <v>11987.320403112821</v>
      </c>
      <c r="K84" s="12">
        <f t="shared" si="30"/>
        <v>11766.707450200547</v>
      </c>
      <c r="L84" s="12">
        <f t="shared" si="30"/>
        <v>12028.787976378062</v>
      </c>
      <c r="M84" s="12">
        <f t="shared" si="30"/>
        <v>11792.342786245468</v>
      </c>
      <c r="N84" s="12">
        <f t="shared" si="30"/>
        <v>12054.831439184618</v>
      </c>
    </row>
    <row r="85" spans="1:15" ht="5.25" customHeight="1" thickBot="1">
      <c r="A85" s="5"/>
      <c r="C85" s="60"/>
      <c r="E85" s="60"/>
      <c r="F85" s="60"/>
      <c r="G85" s="60"/>
      <c r="H85" s="60"/>
      <c r="I85" s="60"/>
      <c r="J85" s="60"/>
      <c r="K85" s="60"/>
      <c r="L85" s="60"/>
      <c r="M85" s="60"/>
      <c r="N85" s="60"/>
    </row>
    <row r="86" spans="1:15" ht="11" thickBot="1">
      <c r="A86" s="106" t="s">
        <v>280</v>
      </c>
      <c r="C86" s="4"/>
      <c r="E86" s="4"/>
      <c r="F86" s="4"/>
      <c r="G86" s="4"/>
      <c r="H86" s="4"/>
      <c r="I86" s="4"/>
      <c r="J86" s="4"/>
      <c r="K86" s="4"/>
      <c r="L86" s="4"/>
      <c r="M86" s="4"/>
      <c r="N86" s="4"/>
      <c r="O86" s="105"/>
    </row>
    <row r="87" spans="1:15" ht="11" thickBot="1">
      <c r="A87" s="5" t="s">
        <v>281</v>
      </c>
      <c r="C87" s="61"/>
      <c r="E87" s="61"/>
      <c r="F87" s="61"/>
      <c r="G87" s="61"/>
      <c r="H87" s="61"/>
      <c r="I87" s="61"/>
      <c r="J87" s="61"/>
      <c r="K87" s="61"/>
      <c r="L87" s="61"/>
      <c r="M87" s="61"/>
      <c r="N87" s="61"/>
    </row>
    <row r="88" spans="1:15" ht="11" thickBot="1">
      <c r="A88" s="5" t="s">
        <v>282</v>
      </c>
      <c r="C88" s="61"/>
      <c r="E88" s="61"/>
      <c r="F88" s="61"/>
      <c r="G88" s="61"/>
      <c r="H88" s="61"/>
      <c r="I88" s="61"/>
      <c r="J88" s="61"/>
      <c r="K88" s="61"/>
      <c r="L88" s="61"/>
      <c r="M88" s="61"/>
      <c r="N88" s="61"/>
    </row>
    <row r="89" spans="1:15" ht="11" thickBot="1">
      <c r="A89" s="5" t="s">
        <v>283</v>
      </c>
      <c r="C89" s="61">
        <f>Input!$E$10-C$87</f>
        <v>77</v>
      </c>
      <c r="E89" s="61">
        <f>$C$89+E69+E70</f>
        <v>55</v>
      </c>
      <c r="F89" s="61">
        <f t="shared" ref="F89:N89" si="31">E$89+F69+F70</f>
        <v>-128</v>
      </c>
      <c r="G89" s="61">
        <f t="shared" si="31"/>
        <v>-43</v>
      </c>
      <c r="H89" s="61">
        <f t="shared" si="31"/>
        <v>286.69258320313838</v>
      </c>
      <c r="I89" s="61">
        <f t="shared" si="31"/>
        <v>467.49295822853401</v>
      </c>
      <c r="J89" s="61">
        <f t="shared" si="31"/>
        <v>693.01360149355094</v>
      </c>
      <c r="K89" s="61">
        <f t="shared" si="31"/>
        <v>741.27208057100916</v>
      </c>
      <c r="L89" s="61">
        <f t="shared" si="31"/>
        <v>784.90542277381189</v>
      </c>
      <c r="M89" s="61">
        <f t="shared" si="31"/>
        <v>824.03391914919666</v>
      </c>
      <c r="N89" s="61">
        <f t="shared" si="31"/>
        <v>859.34547057506961</v>
      </c>
    </row>
    <row r="90" spans="1:15" ht="11" thickBot="1">
      <c r="A90" s="5" t="s">
        <v>284</v>
      </c>
      <c r="C90" s="61"/>
      <c r="E90" s="61"/>
      <c r="F90" s="61"/>
      <c r="G90" s="61"/>
      <c r="H90" s="61"/>
      <c r="I90" s="61"/>
      <c r="J90" s="61"/>
      <c r="K90" s="61"/>
      <c r="L90" s="61"/>
      <c r="M90" s="61"/>
      <c r="N90" s="61"/>
    </row>
    <row r="91" spans="1:15" ht="11" thickBot="1">
      <c r="A91" s="108" t="s">
        <v>285</v>
      </c>
      <c r="C91" s="12">
        <f>SUM(C87:C90)</f>
        <v>77</v>
      </c>
      <c r="E91" s="12">
        <f t="shared" ref="E91:N91" si="32">SUM(E87:E90)</f>
        <v>55</v>
      </c>
      <c r="F91" s="12">
        <f t="shared" si="32"/>
        <v>-128</v>
      </c>
      <c r="G91" s="12">
        <f t="shared" si="32"/>
        <v>-43</v>
      </c>
      <c r="H91" s="12">
        <f t="shared" si="32"/>
        <v>286.69258320313838</v>
      </c>
      <c r="I91" s="12">
        <f t="shared" si="32"/>
        <v>467.49295822853401</v>
      </c>
      <c r="J91" s="12">
        <f t="shared" si="32"/>
        <v>693.01360149355094</v>
      </c>
      <c r="K91" s="12">
        <f t="shared" si="32"/>
        <v>741.27208057100916</v>
      </c>
      <c r="L91" s="12">
        <f t="shared" si="32"/>
        <v>784.90542277381189</v>
      </c>
      <c r="M91" s="12">
        <f t="shared" si="32"/>
        <v>824.03391914919666</v>
      </c>
      <c r="N91" s="12">
        <f t="shared" si="32"/>
        <v>859.34547057506961</v>
      </c>
    </row>
    <row r="92" spans="1:15" ht="5.25" customHeight="1" thickBot="1">
      <c r="A92" s="5"/>
      <c r="C92" s="61"/>
      <c r="E92" s="61"/>
      <c r="F92" s="60"/>
      <c r="G92" s="60"/>
      <c r="H92" s="60"/>
      <c r="I92" s="60"/>
      <c r="J92" s="60"/>
      <c r="K92" s="60"/>
      <c r="L92" s="60"/>
      <c r="M92" s="60"/>
      <c r="N92" s="60"/>
    </row>
    <row r="93" spans="1:15" ht="11" thickBot="1">
      <c r="A93" s="108" t="s">
        <v>286</v>
      </c>
      <c r="C93" s="12">
        <f>C84-C91</f>
        <v>10489</v>
      </c>
      <c r="E93" s="12">
        <f t="shared" ref="E93:N93" si="33">E84-E91</f>
        <v>10462</v>
      </c>
      <c r="F93" s="12">
        <f t="shared" si="33"/>
        <v>10957.490712000001</v>
      </c>
      <c r="G93" s="12">
        <f t="shared" si="33"/>
        <v>11021.490712000001</v>
      </c>
      <c r="H93" s="12">
        <f t="shared" si="33"/>
        <v>11301.687116414585</v>
      </c>
      <c r="I93" s="12">
        <f t="shared" si="33"/>
        <v>11070.886741389189</v>
      </c>
      <c r="J93" s="12">
        <f t="shared" si="33"/>
        <v>11294.30680161927</v>
      </c>
      <c r="K93" s="12">
        <f t="shared" si="33"/>
        <v>11025.435369629538</v>
      </c>
      <c r="L93" s="12">
        <f t="shared" si="33"/>
        <v>11243.88255360425</v>
      </c>
      <c r="M93" s="12">
        <f t="shared" si="33"/>
        <v>10968.308867096272</v>
      </c>
      <c r="N93" s="12">
        <f t="shared" si="33"/>
        <v>11195.485968609548</v>
      </c>
    </row>
    <row r="94" spans="1:15" ht="5.25" customHeight="1" thickBot="1">
      <c r="A94" s="5"/>
      <c r="C94" s="60"/>
      <c r="E94" s="60"/>
      <c r="F94" s="60"/>
      <c r="G94" s="60"/>
      <c r="H94" s="60"/>
      <c r="I94" s="60"/>
      <c r="J94" s="60"/>
      <c r="K94" s="60"/>
      <c r="L94" s="60"/>
      <c r="M94" s="60"/>
      <c r="N94" s="60"/>
    </row>
    <row r="95" spans="1:15" ht="11" thickBot="1">
      <c r="A95" s="106" t="s">
        <v>287</v>
      </c>
      <c r="C95" s="4"/>
      <c r="E95" s="4"/>
      <c r="F95" s="4"/>
      <c r="G95" s="4"/>
      <c r="H95" s="4"/>
      <c r="I95" s="4"/>
      <c r="J95" s="4"/>
      <c r="K95" s="4"/>
      <c r="L95" s="4"/>
      <c r="M95" s="4"/>
      <c r="N95" s="4"/>
      <c r="O95" s="105"/>
    </row>
    <row r="96" spans="1:15" ht="11" thickBot="1">
      <c r="A96" s="5" t="s">
        <v>288</v>
      </c>
      <c r="C96" s="61">
        <f>Input!$E$12</f>
        <v>0</v>
      </c>
      <c r="E96" s="61">
        <f>$C$96+E$52</f>
        <v>0</v>
      </c>
      <c r="F96" s="61">
        <f t="shared" ref="F96:N96" si="34">E$96+F$52</f>
        <v>463.49071199999997</v>
      </c>
      <c r="G96" s="61">
        <f t="shared" si="34"/>
        <v>463.49071199999997</v>
      </c>
      <c r="H96" s="61">
        <f t="shared" si="34"/>
        <v>940.56785131519871</v>
      </c>
      <c r="I96" s="61">
        <f t="shared" si="34"/>
        <v>940.56785131519871</v>
      </c>
      <c r="J96" s="61">
        <f t="shared" si="34"/>
        <v>1437.6872167404313</v>
      </c>
      <c r="K96" s="61">
        <f t="shared" si="34"/>
        <v>1437.6872167404313</v>
      </c>
      <c r="L96" s="61">
        <f t="shared" si="34"/>
        <v>1935.6347214982291</v>
      </c>
      <c r="M96" s="61">
        <f t="shared" si="34"/>
        <v>1935.6347214982291</v>
      </c>
      <c r="N96" s="61">
        <f t="shared" si="34"/>
        <v>2434.8274883397448</v>
      </c>
    </row>
    <row r="97" spans="1:14" ht="11" thickBot="1">
      <c r="A97" s="5" t="s">
        <v>289</v>
      </c>
      <c r="C97" s="61">
        <f>$C$93-$C$96</f>
        <v>10489</v>
      </c>
      <c r="E97" s="61">
        <f>$C$97+E$50</f>
        <v>10462</v>
      </c>
      <c r="F97" s="61">
        <f t="shared" ref="F97:N97" si="35">E$97+F$50</f>
        <v>10494</v>
      </c>
      <c r="G97" s="61">
        <f t="shared" si="35"/>
        <v>10558</v>
      </c>
      <c r="H97" s="61">
        <f t="shared" si="35"/>
        <v>10361.119265099385</v>
      </c>
      <c r="I97" s="61">
        <f t="shared" si="35"/>
        <v>10130.31889007399</v>
      </c>
      <c r="J97" s="61">
        <f t="shared" si="35"/>
        <v>9856.6195848788375</v>
      </c>
      <c r="K97" s="61">
        <f t="shared" si="35"/>
        <v>9587.7481528891058</v>
      </c>
      <c r="L97" s="61">
        <f t="shared" si="35"/>
        <v>9308.2478321060189</v>
      </c>
      <c r="M97" s="61">
        <f t="shared" si="35"/>
        <v>9032.6741455980409</v>
      </c>
      <c r="N97" s="61">
        <f t="shared" si="35"/>
        <v>8760.6584802698017</v>
      </c>
    </row>
    <row r="98" spans="1:14" ht="11" thickBot="1">
      <c r="A98" s="108" t="s">
        <v>290</v>
      </c>
      <c r="C98" s="12">
        <f>SUM(C96:C97)</f>
        <v>10489</v>
      </c>
      <c r="E98" s="12">
        <f t="shared" ref="E98:N98" si="36">SUM(E96:E97)</f>
        <v>10462</v>
      </c>
      <c r="F98" s="12">
        <f t="shared" si="36"/>
        <v>10957.490712000001</v>
      </c>
      <c r="G98" s="12">
        <f t="shared" si="36"/>
        <v>11021.490712000001</v>
      </c>
      <c r="H98" s="12">
        <f t="shared" si="36"/>
        <v>11301.687116414583</v>
      </c>
      <c r="I98" s="12">
        <f t="shared" si="36"/>
        <v>11070.886741389188</v>
      </c>
      <c r="J98" s="12">
        <f t="shared" si="36"/>
        <v>11294.306801619268</v>
      </c>
      <c r="K98" s="12">
        <f t="shared" si="36"/>
        <v>11025.435369629537</v>
      </c>
      <c r="L98" s="12">
        <f t="shared" si="36"/>
        <v>11243.882553604248</v>
      </c>
      <c r="M98" s="12">
        <f t="shared" si="36"/>
        <v>10968.30886709627</v>
      </c>
      <c r="N98" s="12">
        <f t="shared" si="36"/>
        <v>11195.485968609546</v>
      </c>
    </row>
  </sheetData>
  <pageMargins left="0.7" right="0.7" top="0.75" bottom="0.75" header="0.3" footer="0.3"/>
  <pageSetup paperSize="8" scale="8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n113a86c99da40d58aa63fa7a6d7c24b xmlns="f3b9fd03-0889-4d51-bd8f-1187a7c244ba">
      <Terms xmlns="http://schemas.microsoft.com/office/infopath/2007/PartnerControls">
        <TermInfo xmlns="http://schemas.microsoft.com/office/infopath/2007/PartnerControls">
          <TermName xmlns="http://schemas.microsoft.com/office/infopath/2007/PartnerControls">Working Docs</TermName>
          <TermId xmlns="http://schemas.microsoft.com/office/infopath/2007/PartnerControls">0bb43b32-7ab0-45b3-a871-71680d39500b</TermId>
        </TermInfo>
      </Terms>
    </n113a86c99da40d58aa63fa7a6d7c24b>
    <ccc95de9a77e419b9f0c198cec6da4c0 xmlns="f3b9fd03-0889-4d51-bd8f-1187a7c244ba">
      <Terms xmlns="http://schemas.microsoft.com/office/infopath/2007/PartnerControls">
        <TermInfo xmlns="http://schemas.microsoft.com/office/infopath/2007/PartnerControls">
          <TermName xmlns="http://schemas.microsoft.com/office/infopath/2007/PartnerControls">SDP</TermName>
          <TermId xmlns="http://schemas.microsoft.com/office/infopath/2007/PartnerControls">13c0bb22-549c-4c9c-8b07-d7e6f134aea5</TermId>
        </TermInfo>
      </Terms>
    </ccc95de9a77e419b9f0c198cec6da4c0>
    <TaxCatchAll xmlns="f3b9fd03-0889-4d51-bd8f-1187a7c244ba">
      <Value>2</Value>
      <Value>3</Value>
    </TaxCatchAll>
    <_dlc_DocId xmlns="b51a3243-426c-4beb-8180-cc28778a799c">NPU4WK76DJ5N-1713394859-172</_dlc_DocId>
    <_dlc_DocIdUrl xmlns="b51a3243-426c-4beb-8180-cc28778a799c">
      <Url>https://martinjenkins.sharepoint.com/sites/SouthWairarapaDistrictCouncil/_layouts/15/DocIdRedir.aspx?ID=NPU4WK76DJ5N-1713394859-172</Url>
      <Description>NPU4WK76DJ5N-1713394859-172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f8d9cf72-2d5d-413b-b73f-c1879ccadfcc" ContentTypeId="0x0101001D6B8EECF106BB419C03AD670A4727B7" PreviousValue="false" LastSyncTimeStamp="2021-11-04T01:19:18.133Z"/>
</file>

<file path=customXml/item5.xml><?xml version="1.0" encoding="utf-8"?>
<ct:contentTypeSchema xmlns:ct="http://schemas.microsoft.com/office/2006/metadata/contentType" xmlns:ma="http://schemas.microsoft.com/office/2006/metadata/properties/metaAttributes" ct:_="" ma:_="" ma:contentTypeName="Consultant Document" ma:contentTypeID="0x0101001D6B8EECF106BB419C03AD670A4727B700BE475CB87E18FD4F82CB4FBBA713CB59" ma:contentTypeVersion="6" ma:contentTypeDescription="" ma:contentTypeScope="" ma:versionID="db08a9e1c6196b2128b7453c51bf777d">
  <xsd:schema xmlns:xsd="http://www.w3.org/2001/XMLSchema" xmlns:xs="http://www.w3.org/2001/XMLSchema" xmlns:p="http://schemas.microsoft.com/office/2006/metadata/properties" xmlns:ns2="f3b9fd03-0889-4d51-bd8f-1187a7c244ba" xmlns:ns3="b51a3243-426c-4beb-8180-cc28778a799c" targetNamespace="http://schemas.microsoft.com/office/2006/metadata/properties" ma:root="true" ma:fieldsID="a9b6e037e201671935f9927242e10f65" ns2:_="" ns3:_="">
    <xsd:import namespace="f3b9fd03-0889-4d51-bd8f-1187a7c244ba"/>
    <xsd:import namespace="b51a3243-426c-4beb-8180-cc28778a799c"/>
    <xsd:element name="properties">
      <xsd:complexType>
        <xsd:sequence>
          <xsd:element name="documentManagement">
            <xsd:complexType>
              <xsd:all>
                <xsd:element ref="ns2:ccc95de9a77e419b9f0c198cec6da4c0" minOccurs="0"/>
                <xsd:element ref="ns2:TaxCatchAll" minOccurs="0"/>
                <xsd:element ref="ns2:TaxCatchAllLabel" minOccurs="0"/>
                <xsd:element ref="ns2:n113a86c99da40d58aa63fa7a6d7c24b"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b9fd03-0889-4d51-bd8f-1187a7c244ba" elementFormDefault="qualified">
    <xsd:import namespace="http://schemas.microsoft.com/office/2006/documentManagement/types"/>
    <xsd:import namespace="http://schemas.microsoft.com/office/infopath/2007/PartnerControls"/>
    <xsd:element name="ccc95de9a77e419b9f0c198cec6da4c0" ma:index="8" nillable="true" ma:taxonomy="true" ma:internalName="ccc95de9a77e419b9f0c198cec6da4c0" ma:taxonomyFieldName="Business_x0020_Unit" ma:displayName="Business Unit" ma:default="" ma:fieldId="{ccc95de9-a77e-419b-9f0c-198cec6da4c0}" ma:sspId="f8d9cf72-2d5d-413b-b73f-c1879ccadfcc" ma:termSetId="ec50f622-87ea-4ff2-977d-0b021d22657e"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1b63529-d93e-4000-9a49-bbdeabc16db6}" ma:internalName="TaxCatchAll" ma:showField="CatchAllData" ma:web="b51a3243-426c-4beb-8180-cc28778a799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1b63529-d93e-4000-9a49-bbdeabc16db6}" ma:internalName="TaxCatchAllLabel" ma:readOnly="true" ma:showField="CatchAllDataLabel" ma:web="b51a3243-426c-4beb-8180-cc28778a799c">
      <xsd:complexType>
        <xsd:complexContent>
          <xsd:extension base="dms:MultiChoiceLookup">
            <xsd:sequence>
              <xsd:element name="Value" type="dms:Lookup" maxOccurs="unbounded" minOccurs="0" nillable="true"/>
            </xsd:sequence>
          </xsd:extension>
        </xsd:complexContent>
      </xsd:complexType>
    </xsd:element>
    <xsd:element name="n113a86c99da40d58aa63fa7a6d7c24b" ma:index="12" nillable="true" ma:taxonomy="true" ma:internalName="n113a86c99da40d58aa63fa7a6d7c24b" ma:taxonomyFieldName="Doc_x0020_Type" ma:displayName="Doc Type" ma:default="" ma:fieldId="{7113a86c-99da-40d5-8aa6-3fa7a6d7c24b}" ma:taxonomyMulti="true" ma:sspId="f8d9cf72-2d5d-413b-b73f-c1879ccadfcc" ma:termSetId="7aff5c68-1d14-4315-9bda-558a19fbb4d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51a3243-426c-4beb-8180-cc28778a799c" elementFormDefault="qualified">
    <xsd:import namespace="http://schemas.microsoft.com/office/2006/documentManagement/types"/>
    <xsd:import namespace="http://schemas.microsoft.com/office/infopath/2007/PartnerControls"/>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728072-5CE5-4EA7-9463-1AC6FD1484E5}">
  <ds:schemaRefs>
    <ds:schemaRef ds:uri="http://purl.org/dc/terms/"/>
    <ds:schemaRef ds:uri="http://schemas.openxmlformats.org/package/2006/metadata/core-properties"/>
    <ds:schemaRef ds:uri="http://schemas.microsoft.com/office/2006/documentManagement/types"/>
    <ds:schemaRef ds:uri="http://purl.org/dc/elements/1.1/"/>
    <ds:schemaRef ds:uri="http://purl.org/dc/dcmitype/"/>
    <ds:schemaRef ds:uri="f3b9fd03-0889-4d51-bd8f-1187a7c244ba"/>
    <ds:schemaRef ds:uri="http://schemas.microsoft.com/office/infopath/2007/PartnerControls"/>
    <ds:schemaRef ds:uri="b51a3243-426c-4beb-8180-cc28778a799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512BE21-4C8B-4561-AA24-FCCDE5587F4E}">
  <ds:schemaRefs>
    <ds:schemaRef ds:uri="http://schemas.microsoft.com/sharepoint/v3/contenttype/forms"/>
  </ds:schemaRefs>
</ds:datastoreItem>
</file>

<file path=customXml/itemProps3.xml><?xml version="1.0" encoding="utf-8"?>
<ds:datastoreItem xmlns:ds="http://schemas.openxmlformats.org/officeDocument/2006/customXml" ds:itemID="{FF2B91AB-4F76-4F2E-A4FA-41978DD7BB50}">
  <ds:schemaRefs>
    <ds:schemaRef ds:uri="http://schemas.microsoft.com/sharepoint/events"/>
  </ds:schemaRefs>
</ds:datastoreItem>
</file>

<file path=customXml/itemProps4.xml><?xml version="1.0" encoding="utf-8"?>
<ds:datastoreItem xmlns:ds="http://schemas.openxmlformats.org/officeDocument/2006/customXml" ds:itemID="{9688B306-A934-4B4D-8574-1D5EC51004B6}">
  <ds:schemaRefs>
    <ds:schemaRef ds:uri="Microsoft.SharePoint.Taxonomy.ContentTypeSync"/>
  </ds:schemaRefs>
</ds:datastoreItem>
</file>

<file path=customXml/itemProps5.xml><?xml version="1.0" encoding="utf-8"?>
<ds:datastoreItem xmlns:ds="http://schemas.openxmlformats.org/officeDocument/2006/customXml" ds:itemID="{365A9497-4A83-4C9C-94B7-2E68ACF3D7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b9fd03-0889-4d51-bd8f-1187a7c244ba"/>
    <ds:schemaRef ds:uri="b51a3243-426c-4beb-8180-cc28778a79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30ee736-9350-4b29-845a-c3944302326f}" enabled="1" method="Standard" siteId="{ed6fb0f7-ec68-46f1-b035-fe5de3a025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Input</vt:lpstr>
      <vt:lpstr>0. Overview</vt:lpstr>
      <vt:lpstr>1. Charts</vt:lpstr>
      <vt:lpstr>2. Measures</vt:lpstr>
      <vt:lpstr>3. Investment</vt:lpstr>
      <vt:lpstr>4. Financials - water services</vt:lpstr>
      <vt:lpstr>5. Financials - drinking water</vt:lpstr>
      <vt:lpstr>6. Financials - wastewater</vt:lpstr>
      <vt:lpstr>7. Financials - stormwater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Gabbie</dc:creator>
  <cp:lastModifiedBy>Katherine Meerman</cp:lastModifiedBy>
  <cp:lastPrinted>2025-08-12T09:03:43Z</cp:lastPrinted>
  <dcterms:created xsi:type="dcterms:W3CDTF">2025-08-11T00:24:41Z</dcterms:created>
  <dcterms:modified xsi:type="dcterms:W3CDTF">2025-08-19T00:16:42Z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0x0101001D6B8EECF106BB419C03AD670A4727B700BE475CB87E18FD4F82CB4FBBA713CB59</vt:lpwstr>
  </property>
  <property fmtid="{D5CDD505-2E9C-101B-9397-08002B2CF9AE}" pid="3" name="Business_x0020_Unit">
    <vt:lpwstr>2;#SDP|13c0bb22-549c-4c9c-8b07-d7e6f134aea5</vt:lpwstr>
  </property>
  <property fmtid="{D5CDD505-2E9C-101B-9397-08002B2CF9AE}" pid="4" name="Doc_x0020_Type">
    <vt:lpwstr>3;#Working Docs|0bb43b32-7ab0-45b3-a871-71680d39500b</vt:lpwstr>
  </property>
  <property fmtid="{D5CDD505-2E9C-101B-9397-08002B2CF9AE}" pid="5" name="Business Unit">
    <vt:lpwstr>2;#SDP|13c0bb22-549c-4c9c-8b07-d7e6f134aea5</vt:lpwstr>
  </property>
  <property fmtid="{D5CDD505-2E9C-101B-9397-08002B2CF9AE}" pid="6" name="Doc Type">
    <vt:lpwstr>3;#Working Docs|0bb43b32-7ab0-45b3-a871-71680d39500b</vt:lpwstr>
  </property>
  <property fmtid="{D5CDD505-2E9C-101B-9397-08002B2CF9AE}" pid="7" name="_dlc_DocIdItemGuid">
    <vt:lpwstr>ee46719c-ca38-4490-95bc-15dc14a9ad35</vt:lpwstr>
  </property>
</Properties>
</file>